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<sst xmlns="http://schemas.openxmlformats.org/spreadsheetml/2006/main" count="274" uniqueCount="243">
  <si>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</si>
  <si>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</si>
  <si>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</si>
  <si>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</si>
  <si>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</si>
  <si>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</si>
  <si>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</si>
  <si>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</si>
  <si>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</si>
  <si>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</si>
  <si>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</si>
  <si>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</si>
  <si>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</si>
  <si>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</si>
  <si>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</si>
  <si>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</si>
  <si>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</si>
  <si>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</si>
  <si>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</si>
  <si>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</si>
  <si>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</si>
  <si>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</si>
  <si>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</si>
  <si>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</si>
  <si>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</si>
  <si>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</si>
  <si>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</si>
  <si>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</si>
  <si>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</si>
  <si>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</si>
  <si>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</si>
  <si>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</si>
  <si>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</si>
  <si>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</si>
  <si>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</si>
  <si>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</si>
  <si>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</si>
  <si>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</si>
  <si>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</si>
  <si>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</si>
  <si>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</si>
  <si>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</si>
  <si>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</si>
  <si>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</si>
  <si>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</si>
  <si>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</si>
  <si>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</si>
  <si>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</si>
  <si>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</si>
  <si>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</si>
  <si>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</si>
  <si>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</si>
  <si>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</si>
  <si>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</si>
  <si>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</si>
  <si>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</si>
  <si>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</si>
  <si>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</si>
  <si>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</si>
  <si>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</si>
  <si>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</si>
  <si>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</si>
  <si>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</si>
  <si>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</si>
  <si>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</si>
  <si>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</si>
  <si>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</si>
  <si>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</si>
  <si>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</si>
  <si>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</si>
  <si>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</si>
  <si>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</si>
  <si>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</si>
  <si>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</si>
  <si>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</si>
  <si>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</si>
  <si>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</si>
  <si>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</si>
  <si>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</si>
  <si>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</si>
  <si>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</si>
  <si>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</si>
  <si>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</si>
  <si>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</si>
  <si>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</si>
  <si>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</si>
  <si>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</si>
  <si>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</si>
  <si>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</si>
  <si>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</si>
  <si>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</si>
  <si>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</si>
  <si>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</si>
  <si>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</si>
  <si>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</si>
  <si>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</si>
  <si>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</si>
  <si>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</si>
  <si>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</si>
  <si>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</si>
  <si>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</si>
  <si>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</si>
  <si>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</si>
  <si>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</si>
  <si>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</si>
  <si>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</si>
  <si>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</si>
  <si>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</si>
  <si>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</si>
  <si>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</si>
  <si>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</si>
  <si>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</si>
  <si>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</si>
  <si>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</si>
  <si>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</si>
  <si>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</si>
  <si>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</si>
  <si>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</si>
  <si>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</si>
  <si>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</si>
  <si>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</si>
  <si>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</si>
  <si>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</si>
  <si>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</si>
  <si>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</si>
  <si>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</si>
  <si>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</si>
  <si>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</si>
  <si>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</si>
  <si>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</si>
  <si>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</si>
  <si>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</si>
  <si>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</si>
  <si>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</si>
  <si>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</si>
  <si>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</si>
  <si>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</si>
  <si>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</si>
  <si>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</si>
  <si>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</si>
  <si>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</si>
  <si>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</si>
  <si>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</si>
  <si>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</si>
  <si>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</si>
  <si>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</si>
  <si>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</si>
  <si>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</si>
  <si>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</si>
  <si>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</si>
  <si>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</si>
  <si>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</si>
  <si>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</si>
  <si>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</si>
  <si>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</si>
  <si>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</si>
  <si>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</si>
  <si>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</si>
  <si>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</si>
  <si>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</si>
  <si>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</si>
  <si>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</si>
  <si>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</si>
  <si>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</si>
  <si>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</si>
  <si>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</si>
  <si>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</si>
  <si>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</si>
  <si>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</si>
  <si>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</si>
  <si>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</si>
  <si>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</si>
  <si>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</si>
  <si>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</si>
  <si>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</si>
  <si>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</si>
  <si>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</si>
  <si>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</si>
  <si>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</si>
  <si>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</si>
  <si>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</si>
  <si>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</si>
  <si>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</si>
  <si>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</si>
  <si>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</si>
  <si>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</si>
  <si>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</si>
  <si>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</si>
  <si>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</si>
  <si>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</si>
  <si>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</si>
  <si>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</si>
  <si>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</si>
  <si>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</si>
  <si>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</si>
  <si>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</si>
  <si>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</si>
  <si>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</si>
  <si>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</si>
  <si>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</si>
  <si>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</si>
  <si>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</si>
  <si>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</si>
  <si>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</si>
  <si>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</si>
  <si>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</si>
  <si>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</si>
  <si>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</si>
  <si>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</si>
  <si>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</si>
  <si>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</si>
  <si>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</si>
  <si>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</si>
  <si>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</si>
  <si>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</si>
  <si>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</si>
  <si>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</si>
  <si>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</si>
  <si>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</si>
  <si>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</si>
  <si>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</si>
  <si>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</si>
  <si>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</si>
  <si>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</si>
  <si>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</si>
  <si>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</si>
  <si>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</si>
  <si>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</si>
  <si>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</si>
  <si>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</si>
  <si>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</si>
  <si>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</si>
  <si>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</si>
  <si>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</si>
  <si>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</si>
  <si>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</si>
  <si>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</si>
  <si>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</si>
  <si>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</si>
  <si>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</si>
  <si>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</si>
  <si>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</si>
  <si>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Профінансовано на 03.11.2017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</si>
</sst>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D1">
      <pane ySplit="7" topLeftCell="A46" activePane="bottomLeft" state="frozen"/>
      <selection pane="topLeft" activeCell="B1" sqref="B1"/>
      <selection pane="bottomLeft" activeCell="AF58" sqref="AF58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47" t="s">
        <v>181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9"/>
    </row>
    <row r="5" spans="1:35" ht="20.25" customHeight="1">
      <c r="A5" s="274" t="s">
        <v>103</v>
      </c>
      <c r="B5" s="236"/>
      <c r="C5" s="252" t="s">
        <v>104</v>
      </c>
      <c r="D5" s="218"/>
      <c r="E5" s="8" t="s">
        <v>105</v>
      </c>
      <c r="F5" s="8" t="s">
        <v>106</v>
      </c>
      <c r="G5" s="46" t="s">
        <v>107</v>
      </c>
      <c r="H5" s="8" t="s">
        <v>108</v>
      </c>
      <c r="I5" s="8" t="s">
        <v>35</v>
      </c>
      <c r="J5" s="248" t="s">
        <v>36</v>
      </c>
      <c r="K5" s="248" t="s">
        <v>37</v>
      </c>
      <c r="L5" s="248" t="s">
        <v>38</v>
      </c>
      <c r="M5" s="248" t="s">
        <v>39</v>
      </c>
      <c r="N5" s="250" t="s">
        <v>40</v>
      </c>
      <c r="O5" s="251"/>
      <c r="P5" s="252"/>
      <c r="Q5" s="276" t="s">
        <v>41</v>
      </c>
      <c r="R5" s="276" t="s">
        <v>42</v>
      </c>
      <c r="S5" s="278" t="s">
        <v>43</v>
      </c>
      <c r="T5" s="279"/>
      <c r="U5" s="237"/>
      <c r="V5" s="262" t="s">
        <v>44</v>
      </c>
      <c r="W5" s="262" t="s">
        <v>45</v>
      </c>
      <c r="X5" s="262" t="s">
        <v>46</v>
      </c>
      <c r="Y5" s="265" t="s">
        <v>47</v>
      </c>
      <c r="Z5" s="267" t="s">
        <v>48</v>
      </c>
      <c r="AA5" s="243" t="s">
        <v>49</v>
      </c>
      <c r="AB5" s="243" t="s">
        <v>50</v>
      </c>
      <c r="AC5" s="258" t="s">
        <v>51</v>
      </c>
      <c r="AD5" s="238"/>
      <c r="AE5" s="218"/>
      <c r="AF5" s="218"/>
      <c r="AG5" s="218"/>
      <c r="AH5" s="218"/>
      <c r="AI5" s="7" t="s">
        <v>52</v>
      </c>
    </row>
    <row r="6" spans="1:35" ht="15.75">
      <c r="A6" s="274"/>
      <c r="B6" s="248" t="s">
        <v>53</v>
      </c>
      <c r="C6" s="275"/>
      <c r="D6" s="248" t="s">
        <v>54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49"/>
      <c r="K6" s="249"/>
      <c r="L6" s="249"/>
      <c r="M6" s="249"/>
      <c r="N6" s="253"/>
      <c r="O6" s="254"/>
      <c r="P6" s="255"/>
      <c r="Q6" s="277"/>
      <c r="R6" s="277"/>
      <c r="S6" s="272" t="s">
        <v>89</v>
      </c>
      <c r="T6" s="273"/>
      <c r="U6" s="239"/>
      <c r="V6" s="263"/>
      <c r="W6" s="263"/>
      <c r="X6" s="263"/>
      <c r="Y6" s="266"/>
      <c r="Z6" s="268"/>
      <c r="AA6" s="244"/>
      <c r="AB6" s="244"/>
      <c r="AC6" s="259"/>
      <c r="AD6" s="245" t="s">
        <v>90</v>
      </c>
      <c r="AE6" s="245" t="s">
        <v>41</v>
      </c>
      <c r="AF6" s="245" t="s">
        <v>42</v>
      </c>
      <c r="AG6" s="57" t="s">
        <v>43</v>
      </c>
      <c r="AH6" s="243" t="s">
        <v>242</v>
      </c>
      <c r="AI6" s="245" t="s">
        <v>34</v>
      </c>
    </row>
    <row r="7" spans="1:35" ht="36.75" customHeight="1">
      <c r="A7" s="8">
        <v>1</v>
      </c>
      <c r="B7" s="249"/>
      <c r="C7" s="41">
        <v>1</v>
      </c>
      <c r="D7" s="249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46"/>
      <c r="AE7" s="246"/>
      <c r="AF7" s="246"/>
      <c r="AG7" s="41" t="s">
        <v>89</v>
      </c>
      <c r="AH7" s="244"/>
      <c r="AI7" s="246"/>
    </row>
    <row r="8" spans="1:35" ht="15.75" customHeight="1">
      <c r="A8" s="8"/>
      <c r="B8" s="62" t="s">
        <v>22</v>
      </c>
      <c r="C8" s="63"/>
      <c r="D8" s="64" t="s">
        <v>179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5">AE8+AF8</f>
        <v>19191490.28</v>
      </c>
      <c r="AE8" s="73"/>
      <c r="AF8" s="74">
        <f>SUM(AF9:AF49)</f>
        <v>19191490.28</v>
      </c>
      <c r="AG8" s="74">
        <f>SUM(AG9:AG49)</f>
        <v>19191490.28</v>
      </c>
      <c r="AH8" s="74">
        <f>SUM(AH9:AH49)</f>
        <v>5829253.089999998</v>
      </c>
      <c r="AI8" s="17">
        <f aca="true" t="shared" si="1" ref="AI8:AI48">AH8/AF8*100</f>
        <v>30.374155445733305</v>
      </c>
    </row>
    <row r="9" spans="1:35" s="55" customFormat="1" ht="75">
      <c r="A9" s="46"/>
      <c r="B9" s="58" t="s">
        <v>138</v>
      </c>
      <c r="C9" s="47"/>
      <c r="D9" s="40" t="s">
        <v>180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3668307.2+81489.6+76836.8+108000</f>
        <v>3934633.6</v>
      </c>
      <c r="AI9" s="22">
        <f t="shared" si="1"/>
        <v>50.38030570282059</v>
      </c>
    </row>
    <row r="10" spans="1:35" s="55" customFormat="1" ht="37.5">
      <c r="A10" s="46"/>
      <c r="B10" s="58"/>
      <c r="C10" s="47"/>
      <c r="D10" s="40" t="s">
        <v>233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234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235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239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91</v>
      </c>
      <c r="C14" s="47"/>
      <c r="D14" s="93" t="s">
        <v>190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106000</v>
      </c>
      <c r="AE14" s="54"/>
      <c r="AF14" s="242">
        <v>106000</v>
      </c>
      <c r="AG14" s="26">
        <f t="shared" si="2"/>
        <v>106000</v>
      </c>
      <c r="AH14" s="80">
        <f>6999.8+48399</f>
        <v>55398.8</v>
      </c>
      <c r="AI14" s="22">
        <f t="shared" si="1"/>
        <v>52.26301886792453</v>
      </c>
    </row>
    <row r="15" spans="1:35" s="55" customFormat="1" ht="37.5">
      <c r="A15" s="46"/>
      <c r="B15" s="58" t="s">
        <v>92</v>
      </c>
      <c r="C15" s="47"/>
      <c r="D15" s="93" t="s">
        <v>191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93</v>
      </c>
      <c r="C16" s="47"/>
      <c r="D16" s="93" t="s">
        <v>192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94</v>
      </c>
      <c r="C17" s="47"/>
      <c r="D17" s="93" t="s">
        <v>193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125</v>
      </c>
      <c r="C18" s="47"/>
      <c r="D18" s="93" t="s">
        <v>194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129</v>
      </c>
      <c r="C19" s="47"/>
      <c r="D19" s="93" t="s">
        <v>195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85</v>
      </c>
      <c r="C20" s="47"/>
      <c r="D20" s="93" t="s">
        <v>196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164000</v>
      </c>
      <c r="AE20" s="54"/>
      <c r="AF20" s="242">
        <v>164000</v>
      </c>
      <c r="AG20" s="26">
        <f t="shared" si="2"/>
        <v>164000</v>
      </c>
      <c r="AH20" s="80">
        <f>10499.8+75092</f>
        <v>85591.8</v>
      </c>
      <c r="AI20" s="22">
        <f t="shared" si="1"/>
        <v>52.19012195121952</v>
      </c>
    </row>
    <row r="21" spans="1:35" s="55" customFormat="1" ht="37.5">
      <c r="A21" s="46"/>
      <c r="B21" s="58" t="s">
        <v>145</v>
      </c>
      <c r="C21" s="47"/>
      <c r="D21" s="93" t="s">
        <v>197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105000</v>
      </c>
      <c r="AE21" s="54"/>
      <c r="AF21" s="242">
        <v>105000</v>
      </c>
      <c r="AG21" s="26">
        <f t="shared" si="2"/>
        <v>105000</v>
      </c>
      <c r="AH21" s="80">
        <f>7499.8+47475</f>
        <v>54974.8</v>
      </c>
      <c r="AI21" s="22">
        <f t="shared" si="1"/>
        <v>52.35695238095238</v>
      </c>
    </row>
    <row r="22" spans="1:35" s="55" customFormat="1" ht="37.5">
      <c r="A22" s="46"/>
      <c r="B22" s="58" t="s">
        <v>152</v>
      </c>
      <c r="C22" s="47"/>
      <c r="D22" s="93" t="s">
        <v>207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40000</v>
      </c>
      <c r="AE22" s="54"/>
      <c r="AF22" s="242">
        <v>40000</v>
      </c>
      <c r="AG22" s="26">
        <f t="shared" si="2"/>
        <v>40000</v>
      </c>
      <c r="AH22" s="80">
        <f>3999.8+17354</f>
        <v>21353.8</v>
      </c>
      <c r="AI22" s="22">
        <f t="shared" si="1"/>
        <v>53.3845</v>
      </c>
    </row>
    <row r="23" spans="1:35" s="55" customFormat="1" ht="37.5">
      <c r="A23" s="46"/>
      <c r="B23" s="58" t="s">
        <v>156</v>
      </c>
      <c r="C23" s="47"/>
      <c r="D23" s="93" t="s">
        <v>198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199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208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112000</v>
      </c>
      <c r="AE25" s="54"/>
      <c r="AF25" s="242">
        <v>112000</v>
      </c>
      <c r="AG25" s="26">
        <f t="shared" si="2"/>
        <v>112000</v>
      </c>
      <c r="AH25" s="80">
        <f>7999.8+50602</f>
        <v>58601.8</v>
      </c>
      <c r="AI25" s="22">
        <f t="shared" si="1"/>
        <v>52.323035714285716</v>
      </c>
    </row>
    <row r="26" spans="1:35" s="55" customFormat="1" ht="37.5">
      <c r="A26" s="46"/>
      <c r="B26" s="58" t="s">
        <v>2</v>
      </c>
      <c r="C26" s="47"/>
      <c r="D26" s="100" t="s">
        <v>209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80">
        <v>6699.6</v>
      </c>
      <c r="AI26" s="22">
        <f t="shared" si="1"/>
        <v>2.814957983193277</v>
      </c>
    </row>
    <row r="27" spans="1:35" s="55" customFormat="1" ht="37.5">
      <c r="A27" s="46"/>
      <c r="B27" s="58" t="s">
        <v>3</v>
      </c>
      <c r="C27" s="47"/>
      <c r="D27" s="100" t="s">
        <v>210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80">
        <v>6699.6</v>
      </c>
      <c r="AI27" s="22">
        <f t="shared" si="1"/>
        <v>2.814957983193277</v>
      </c>
    </row>
    <row r="28" spans="1:35" s="55" customFormat="1" ht="37.5">
      <c r="A28" s="46"/>
      <c r="B28" s="58" t="s">
        <v>4</v>
      </c>
      <c r="C28" s="47"/>
      <c r="D28" s="100" t="s">
        <v>211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80">
        <v>4299.6</v>
      </c>
      <c r="AI28" s="22">
        <f t="shared" si="1"/>
        <v>1.9905555555555559</v>
      </c>
    </row>
    <row r="29" spans="1:35" s="55" customFormat="1" ht="37.5">
      <c r="A29" s="46"/>
      <c r="B29" s="58" t="s">
        <v>5</v>
      </c>
      <c r="C29" s="47"/>
      <c r="D29" s="100" t="s">
        <v>212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80">
        <v>4299.6</v>
      </c>
      <c r="AI29" s="22">
        <f t="shared" si="1"/>
        <v>1.9905555555555559</v>
      </c>
    </row>
    <row r="30" spans="1:35" s="55" customFormat="1" ht="37.5">
      <c r="A30" s="46"/>
      <c r="B30" s="58" t="s">
        <v>6</v>
      </c>
      <c r="C30" s="47"/>
      <c r="D30" s="100" t="s">
        <v>213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80">
        <v>4700</v>
      </c>
      <c r="AI30" s="22">
        <f t="shared" si="1"/>
        <v>2.2065727699530515</v>
      </c>
    </row>
    <row r="31" spans="1:35" s="55" customFormat="1" ht="37.5">
      <c r="A31" s="46"/>
      <c r="B31" s="58" t="s">
        <v>7</v>
      </c>
      <c r="C31" s="47"/>
      <c r="D31" s="100" t="s">
        <v>214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80">
        <v>2700</v>
      </c>
      <c r="AI31" s="22">
        <f t="shared" si="1"/>
        <v>0.7670454545454546</v>
      </c>
    </row>
    <row r="32" spans="1:35" s="55" customFormat="1" ht="37.5">
      <c r="A32" s="46"/>
      <c r="B32" s="58" t="s">
        <v>8</v>
      </c>
      <c r="C32" s="47"/>
      <c r="D32" s="100" t="s">
        <v>215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80">
        <v>4950</v>
      </c>
      <c r="AI32" s="22">
        <f t="shared" si="1"/>
        <v>4.090909090909091</v>
      </c>
    </row>
    <row r="33" spans="1:35" s="55" customFormat="1" ht="37.5">
      <c r="A33" s="46"/>
      <c r="B33" s="58" t="s">
        <v>9</v>
      </c>
      <c r="C33" s="47"/>
      <c r="D33" s="101" t="s">
        <v>184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42000</v>
      </c>
      <c r="AE33" s="54"/>
      <c r="AF33" s="242">
        <v>42000</v>
      </c>
      <c r="AG33" s="26">
        <f t="shared" si="2"/>
        <v>42000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236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92000</v>
      </c>
      <c r="AE34" s="54"/>
      <c r="AF34" s="242">
        <v>92000</v>
      </c>
      <c r="AG34" s="26">
        <f t="shared" si="2"/>
        <v>92000</v>
      </c>
      <c r="AH34" s="85"/>
      <c r="AI34" s="22">
        <f t="shared" si="1"/>
        <v>0</v>
      </c>
    </row>
    <row r="35" spans="1:35" s="55" customFormat="1" ht="37.5">
      <c r="A35" s="46"/>
      <c r="B35" s="58"/>
      <c r="C35" s="47"/>
      <c r="D35" s="101" t="s">
        <v>237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112000</v>
      </c>
      <c r="AE35" s="54"/>
      <c r="AF35" s="242">
        <v>112000</v>
      </c>
      <c r="AG35" s="26">
        <f t="shared" si="2"/>
        <v>112000</v>
      </c>
      <c r="AH35" s="85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241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30000</v>
      </c>
      <c r="AE36" s="54"/>
      <c r="AF36" s="242">
        <v>30000</v>
      </c>
      <c r="AG36" s="26">
        <f t="shared" si="2"/>
        <v>30000</v>
      </c>
      <c r="AH36" s="86"/>
      <c r="AI36" s="22">
        <f t="shared" si="1"/>
        <v>0</v>
      </c>
    </row>
    <row r="37" spans="1:35" s="55" customFormat="1" ht="56.25">
      <c r="A37" s="46"/>
      <c r="B37" s="58" t="s">
        <v>11</v>
      </c>
      <c r="C37" s="47"/>
      <c r="D37" s="101" t="s">
        <v>240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50000</v>
      </c>
      <c r="AE37" s="54"/>
      <c r="AF37" s="242">
        <v>50000</v>
      </c>
      <c r="AG37" s="26">
        <f t="shared" si="2"/>
        <v>50000</v>
      </c>
      <c r="AH37" s="86"/>
      <c r="AI37" s="22">
        <f t="shared" si="1"/>
        <v>0</v>
      </c>
    </row>
    <row r="38" spans="1:35" s="55" customFormat="1" ht="75">
      <c r="A38" s="46"/>
      <c r="B38" s="58" t="s">
        <v>12</v>
      </c>
      <c r="C38" s="47"/>
      <c r="D38" s="101" t="s">
        <v>231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287000</v>
      </c>
      <c r="AE38" s="54"/>
      <c r="AF38" s="242">
        <v>287000</v>
      </c>
      <c r="AG38" s="26">
        <f t="shared" si="2"/>
        <v>287000</v>
      </c>
      <c r="AH38" s="86"/>
      <c r="AI38" s="22">
        <f t="shared" si="1"/>
        <v>0</v>
      </c>
    </row>
    <row r="39" spans="1:35" s="55" customFormat="1" ht="37.5">
      <c r="A39" s="46"/>
      <c r="B39" s="58" t="s">
        <v>13</v>
      </c>
      <c r="C39" s="47"/>
      <c r="D39" s="101" t="s">
        <v>185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2193000</v>
      </c>
      <c r="AE39" s="54"/>
      <c r="AF39" s="242">
        <v>2193000</v>
      </c>
      <c r="AG39" s="26">
        <f t="shared" si="2"/>
        <v>2193000</v>
      </c>
      <c r="AH39" s="87">
        <f>19998.84</f>
        <v>19998.84</v>
      </c>
      <c r="AI39" s="22">
        <f t="shared" si="1"/>
        <v>0.9119398084815322</v>
      </c>
    </row>
    <row r="40" spans="1:35" s="55" customFormat="1" ht="37.5">
      <c r="A40" s="46"/>
      <c r="B40" s="58" t="s">
        <v>14</v>
      </c>
      <c r="C40" s="47"/>
      <c r="D40" s="101" t="s">
        <v>186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2087910</v>
      </c>
      <c r="AE40" s="54"/>
      <c r="AF40" s="241">
        <v>2087910</v>
      </c>
      <c r="AG40" s="26">
        <f t="shared" si="2"/>
        <v>2087910</v>
      </c>
      <c r="AH40" s="26">
        <f>4924.8+9103.93+74231.4+154882+5545.78+96010+89447+131452.25+4093.53</f>
        <v>569690.6900000001</v>
      </c>
      <c r="AI40" s="22">
        <f t="shared" si="1"/>
        <v>27.285212964160337</v>
      </c>
    </row>
    <row r="41" spans="1:35" s="55" customFormat="1" ht="37.5">
      <c r="A41" s="46"/>
      <c r="B41" s="58" t="s">
        <v>15</v>
      </c>
      <c r="C41" s="47"/>
      <c r="D41" s="102" t="s">
        <v>187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366158.6</v>
      </c>
      <c r="AE41" s="54"/>
      <c r="AF41" s="241">
        <v>366158.6</v>
      </c>
      <c r="AG41" s="26">
        <f t="shared" si="2"/>
        <v>366158.6</v>
      </c>
      <c r="AH41" s="26">
        <f>232868+127807.6+5483</f>
        <v>366158.6</v>
      </c>
      <c r="AI41" s="22">
        <f t="shared" si="1"/>
        <v>100</v>
      </c>
    </row>
    <row r="42" spans="1:35" s="55" customFormat="1" ht="37.5">
      <c r="A42" s="46"/>
      <c r="B42" s="58" t="s">
        <v>16</v>
      </c>
      <c r="C42" s="47"/>
      <c r="D42" s="102" t="s">
        <v>188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350000</v>
      </c>
      <c r="AE42" s="54"/>
      <c r="AF42" s="241">
        <v>350000</v>
      </c>
      <c r="AG42" s="26">
        <f t="shared" si="2"/>
        <v>350000</v>
      </c>
      <c r="AH42" s="24"/>
      <c r="AI42" s="22">
        <f t="shared" si="1"/>
        <v>0</v>
      </c>
    </row>
    <row r="43" spans="1:35" s="55" customFormat="1" ht="37.5">
      <c r="A43" s="46"/>
      <c r="B43" s="58" t="s">
        <v>17</v>
      </c>
      <c r="C43" s="47"/>
      <c r="D43" s="102" t="s">
        <v>189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218557.2</v>
      </c>
      <c r="AE43" s="54"/>
      <c r="AF43" s="241">
        <v>218557.2</v>
      </c>
      <c r="AG43" s="26">
        <f t="shared" si="2"/>
        <v>218557.2</v>
      </c>
      <c r="AH43" s="26">
        <f>149555.88+63567.72+5164.8</f>
        <v>218288.4</v>
      </c>
      <c r="AI43" s="22">
        <f t="shared" si="1"/>
        <v>99.87701160153955</v>
      </c>
    </row>
    <row r="44" spans="1:35" s="55" customFormat="1" ht="37.5">
      <c r="A44" s="46"/>
      <c r="B44" s="58" t="s">
        <v>18</v>
      </c>
      <c r="C44" s="47"/>
      <c r="D44" s="102" t="s">
        <v>238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595000</v>
      </c>
      <c r="AE44" s="54"/>
      <c r="AF44" s="241">
        <v>595000</v>
      </c>
      <c r="AG44" s="26">
        <f t="shared" si="2"/>
        <v>595000</v>
      </c>
      <c r="AH44" s="26">
        <v>44069</v>
      </c>
      <c r="AI44" s="22">
        <f t="shared" si="1"/>
        <v>7.4065546218487395</v>
      </c>
    </row>
    <row r="45" spans="1:35" s="55" customFormat="1" ht="37.5">
      <c r="A45" s="46"/>
      <c r="B45" s="58" t="s">
        <v>19</v>
      </c>
      <c r="C45" s="47"/>
      <c r="D45" s="93" t="s">
        <v>229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79">
        <f t="shared" si="0"/>
        <v>923000</v>
      </c>
      <c r="AE45" s="54"/>
      <c r="AF45" s="241">
        <v>923000</v>
      </c>
      <c r="AG45" s="26">
        <f t="shared" si="2"/>
        <v>923000</v>
      </c>
      <c r="AH45" s="24"/>
      <c r="AI45" s="22">
        <f t="shared" si="1"/>
        <v>0</v>
      </c>
    </row>
    <row r="46" spans="1:35" s="55" customFormat="1" ht="56.25">
      <c r="A46" s="46"/>
      <c r="B46" s="58" t="s">
        <v>218</v>
      </c>
      <c r="C46" s="47"/>
      <c r="D46" s="93" t="s">
        <v>227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220000</v>
      </c>
      <c r="AE46" s="54"/>
      <c r="AF46" s="241">
        <v>220000</v>
      </c>
      <c r="AG46" s="26">
        <f t="shared" si="2"/>
        <v>220000</v>
      </c>
      <c r="AH46" s="26">
        <v>125982.23</v>
      </c>
      <c r="AI46" s="22">
        <f t="shared" si="1"/>
        <v>57.264649999999996</v>
      </c>
    </row>
    <row r="47" spans="1:35" s="55" customFormat="1" ht="37.5">
      <c r="A47" s="46"/>
      <c r="B47" s="58" t="s">
        <v>219</v>
      </c>
      <c r="C47" s="47"/>
      <c r="D47" s="93" t="s">
        <v>220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v>60000</v>
      </c>
      <c r="AE47" s="54"/>
      <c r="AF47" s="241">
        <v>60000</v>
      </c>
      <c r="AG47" s="26">
        <f t="shared" si="2"/>
        <v>60000</v>
      </c>
      <c r="AH47" s="24"/>
      <c r="AI47" s="22">
        <f t="shared" si="1"/>
        <v>0</v>
      </c>
    </row>
    <row r="48" spans="1:35" s="55" customFormat="1" ht="37.5">
      <c r="A48" s="46"/>
      <c r="B48" s="58" t="s">
        <v>221</v>
      </c>
      <c r="C48" s="47"/>
      <c r="D48" s="93" t="s">
        <v>223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v>350000</v>
      </c>
      <c r="AE48" s="54"/>
      <c r="AF48" s="241">
        <v>350000</v>
      </c>
      <c r="AG48" s="26">
        <f t="shared" si="2"/>
        <v>350000</v>
      </c>
      <c r="AH48" s="24"/>
      <c r="AI48" s="22">
        <f t="shared" si="1"/>
        <v>0</v>
      </c>
    </row>
    <row r="49" spans="1:35" s="55" customFormat="1" ht="37.5">
      <c r="A49" s="46"/>
      <c r="B49" s="58" t="s">
        <v>221</v>
      </c>
      <c r="C49" s="47"/>
      <c r="D49" s="93" t="s">
        <v>183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f>5915+5916.73</f>
        <v>11831.73</v>
      </c>
      <c r="AI49" s="22">
        <f>AH49/AF49*100</f>
        <v>3.94391</v>
      </c>
    </row>
    <row r="50" spans="1:35" ht="37.5">
      <c r="A50" s="8"/>
      <c r="B50" s="62" t="s">
        <v>20</v>
      </c>
      <c r="C50" s="63"/>
      <c r="D50" s="64" t="s">
        <v>88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2456600.2800000003</v>
      </c>
      <c r="AI50" s="17">
        <f>AH50/AF50*100</f>
        <v>18.610608181818183</v>
      </c>
    </row>
    <row r="51" spans="1:35" ht="60" customHeight="1">
      <c r="A51" s="8"/>
      <c r="B51" s="58" t="s">
        <v>95</v>
      </c>
      <c r="C51" s="41"/>
      <c r="D51" s="59" t="s">
        <v>178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1597033.05+196051.8+368320.69+295194.74</f>
        <v>2456600.2800000003</v>
      </c>
      <c r="AI51" s="22">
        <f>AH51/AF51*100</f>
        <v>18.610608181818183</v>
      </c>
    </row>
    <row r="52" spans="1:35" ht="18.75">
      <c r="A52" s="15">
        <v>4</v>
      </c>
      <c r="B52" s="15" t="s">
        <v>21</v>
      </c>
      <c r="C52" s="16"/>
      <c r="D52" s="103" t="s">
        <v>55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M53+M61+M69+M73+#REF!+M79+M80+M84+M87+M91+M99+M60+M102+M103+M104+M105+M106+M107+#REF!+#REF!+M116</f>
        <v>#REF!</v>
      </c>
      <c r="N52" s="104" t="e">
        <f>N53+N61+N69+N73+#REF!+N79+N80+N84+N87+N91+N99+N60+N102+N103+N104+N105+N106+N107+#REF!+#REF!+N116</f>
        <v>#VALUE!</v>
      </c>
      <c r="O52" s="104" t="e">
        <f>O53+O61+O69+O73+#REF!+O79+O80+O84+O87+O91+O99+O60+O102+O103+O104+O105+O106+O107+#REF!+#REF!+O116</f>
        <v>#REF!</v>
      </c>
      <c r="P52" s="105" t="e">
        <f>P53+P61+P69+P73+P78+P84+P87+P96+P99+P102+P103+P104+P105+P106+P107+P116</f>
        <v>#REF!</v>
      </c>
      <c r="Q52" s="104" t="e">
        <f>Q53+Q61+Q69+Q73+#REF!+Q79+Q80+Q84+Q87+Q91+Q99+Q60+Q102+Q103+Q104+Q105+Q106+Q107+#REF!+#REF!+Q116</f>
        <v>#REF!</v>
      </c>
      <c r="R52" s="104" t="e">
        <f>R53+R61+R69+R73+#REF!+R79+R80+R84+R87+R91+R99+R60+R102+R103+R104+R105+R106+R107+#REF!+#REF!+R116</f>
        <v>#REF!</v>
      </c>
      <c r="S52" s="104" t="e">
        <f>S53+S61+S69+S73+#REF!+S79+S80+S84+S87+S91+S99+S60+S102+S103+S104+S105+S106+S107+#REF!+#REF!+S116</f>
        <v>#REF!</v>
      </c>
      <c r="T52" s="104" t="e">
        <f>T53+T61+T69+T73+#REF!+T79+T80+T84+T87+T91+T99+T60+T102+T103+T104+T105+T106+T107+#REF!+#REF!+T116</f>
        <v>#REF!</v>
      </c>
      <c r="U52" s="104" t="e">
        <f>U53+U61+U69+U73+#REF!+U79+U80+U84+U87+U91+U99+U60+U102+U103+U104+U105+U106+U107+#REF!+#REF!+U116</f>
        <v>#REF!</v>
      </c>
      <c r="V52" s="104" t="e">
        <f>V53+V61+V69+V73+#REF!+V79+V80+V84+V87+V91+V99+V60+V102+V103+V104+V105+V106+V107+#REF!+#REF!+V116</f>
        <v>#REF!</v>
      </c>
      <c r="W52" s="106" t="e">
        <f>W56+W73+#REF!+W88</f>
        <v>#REF!</v>
      </c>
      <c r="X52" s="104" t="e">
        <f>X53+X61+X69+X73+#REF!+X91+X60+X79+X99+X102+X80+X104+X84+X105+X107+X103+X106+X87</f>
        <v>#REF!</v>
      </c>
      <c r="Y52" s="107" t="e">
        <f>X52/P52*100</f>
        <v>#REF!</v>
      </c>
      <c r="Z52" s="105" t="e">
        <f>Z53+Z61+Z69+Z73+Z78+Z84+Z87+Z96+Z99+Z102+Z103+Z104+Z105+Z106+Z107+Z117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53717889.138199</v>
      </c>
      <c r="AE52" s="105">
        <f>AE53+AE61+AE69+AE73+AE78+AE84+AE87+AE96+AE99+AE102+AE103+AE104+AE105+AE106+AE107+AE112</f>
        <v>53717889.138199</v>
      </c>
      <c r="AF52" s="72"/>
      <c r="AG52" s="72"/>
      <c r="AH52" s="105">
        <f>AH53+AH61+AH69+AH73+AH78+AH84+AH87+AH96+AH99+AH102+AH103+AH104+AH105+AH106+AH107+AH112</f>
        <v>47102485.699999996</v>
      </c>
      <c r="AI52" s="107">
        <f aca="true" t="shared" si="6" ref="AI52:AI84">AH52/AE52*100</f>
        <v>87.68491550146418</v>
      </c>
    </row>
    <row r="53" spans="1:35" s="2" customFormat="1" ht="31.5">
      <c r="A53" s="75" t="s">
        <v>99</v>
      </c>
      <c r="B53" s="75" t="s">
        <v>96</v>
      </c>
      <c r="C53" s="76"/>
      <c r="D53" s="110" t="s">
        <v>56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57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14261691.25</v>
      </c>
      <c r="AE53" s="118">
        <f>AE54+AE55+AE57+AE56+AE60+AE58+AE59</f>
        <v>14261691.25</v>
      </c>
      <c r="AF53" s="118"/>
      <c r="AG53" s="119"/>
      <c r="AH53" s="138">
        <f>AH54+AH55+AH57+AH58+AH60+AH59</f>
        <v>12270699.49</v>
      </c>
      <c r="AI53" s="135">
        <f t="shared" si="6"/>
        <v>86.03958166602436</v>
      </c>
    </row>
    <row r="54" spans="1:35" ht="18.75">
      <c r="A54" s="20"/>
      <c r="B54" s="20"/>
      <c r="C54" s="21" t="s">
        <v>96</v>
      </c>
      <c r="D54" s="121" t="s">
        <v>58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59</v>
      </c>
      <c r="AD54" s="133">
        <f t="shared" si="3"/>
        <v>4284918.23</v>
      </c>
      <c r="AE54" s="130">
        <v>4284918.23</v>
      </c>
      <c r="AF54" s="43"/>
      <c r="AG54" s="43"/>
      <c r="AH54" s="134">
        <f>451196.53+332740.16-66.81+399426.96+233852.31+419280+342420+316420+270160+424000+332250</f>
        <v>3521679.15</v>
      </c>
      <c r="AI54" s="135">
        <f t="shared" si="6"/>
        <v>82.18777957870154</v>
      </c>
    </row>
    <row r="55" spans="1:35" ht="18" customHeight="1">
      <c r="A55" s="20"/>
      <c r="B55" s="20"/>
      <c r="C55" s="21" t="s">
        <v>97</v>
      </c>
      <c r="D55" s="121" t="s">
        <v>60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61</v>
      </c>
      <c r="AD55" s="133">
        <f t="shared" si="3"/>
        <v>8062577.58</v>
      </c>
      <c r="AE55" s="137">
        <f>8196115.58-133538</f>
        <v>8062577.58</v>
      </c>
      <c r="AF55" s="43"/>
      <c r="AG55" s="43"/>
      <c r="AH55" s="138">
        <f>1043663.87+1051800.53+937923.95+734004.17+658837.16+525067.25+376221.5+489613.19+767265.06+814313.53</f>
        <v>7398710.21</v>
      </c>
      <c r="AI55" s="135">
        <f t="shared" si="6"/>
        <v>91.76606533812726</v>
      </c>
    </row>
    <row r="56" spans="1:35" ht="38.25" customHeight="1" hidden="1">
      <c r="A56" s="20"/>
      <c r="B56" s="20"/>
      <c r="C56" s="21" t="s">
        <v>96</v>
      </c>
      <c r="D56" s="139" t="s">
        <v>62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60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61" t="s">
        <v>63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96</v>
      </c>
      <c r="D57" s="144" t="s">
        <v>230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60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61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70531.7+6772.4+32179.65+4172.4+2000+32179.65+4772.4+2000+33654.16+37827.5+2000+4831.46+33654.16+8172.4+33654.15+6982.4+33654.15+4772.4+33654.15</f>
        <v>387465.1300000001</v>
      </c>
      <c r="AI57" s="135">
        <f t="shared" si="6"/>
        <v>81.19945638620473</v>
      </c>
    </row>
    <row r="58" spans="1:35" ht="18.75">
      <c r="A58" s="20"/>
      <c r="B58" s="20"/>
      <c r="C58" s="21"/>
      <c r="D58" s="147" t="s">
        <v>182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</f>
        <v>128342.16</v>
      </c>
      <c r="AI58" s="135">
        <f t="shared" si="6"/>
        <v>70.07948104707926</v>
      </c>
    </row>
    <row r="59" spans="1:35" ht="15.75" customHeight="1">
      <c r="A59" s="20"/>
      <c r="B59" s="20"/>
      <c r="C59" s="21"/>
      <c r="D59" s="147" t="s">
        <v>228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26269.19+27110.07+62806.36</f>
        <v>116185.62</v>
      </c>
      <c r="AI59" s="135">
        <f t="shared" si="6"/>
        <v>32.3997824874512</v>
      </c>
    </row>
    <row r="60" spans="1:35" ht="18.75">
      <c r="A60" s="20"/>
      <c r="B60" s="20"/>
      <c r="C60" s="21" t="s">
        <v>97</v>
      </c>
      <c r="D60" s="139" t="s">
        <v>64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57</v>
      </c>
      <c r="M60" s="118">
        <v>821358.2</v>
      </c>
      <c r="N60" s="140" t="s">
        <v>57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</f>
        <v>718317.22</v>
      </c>
      <c r="AI60" s="135">
        <f t="shared" si="6"/>
        <v>80.23376675134331</v>
      </c>
    </row>
    <row r="61" spans="1:35" s="2" customFormat="1" ht="18.75">
      <c r="A61" s="75" t="s">
        <v>100</v>
      </c>
      <c r="B61" s="75" t="s">
        <v>97</v>
      </c>
      <c r="C61" s="76"/>
      <c r="D61" s="110" t="s">
        <v>65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6349105.9</v>
      </c>
      <c r="AI61" s="135">
        <f t="shared" si="6"/>
        <v>93.62440471266692</v>
      </c>
    </row>
    <row r="62" spans="1:37" ht="18.75">
      <c r="A62" s="20"/>
      <c r="B62" s="20"/>
      <c r="C62" s="21" t="s">
        <v>66</v>
      </c>
      <c r="D62" s="154" t="s">
        <v>67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</f>
        <v>2203070.9</v>
      </c>
      <c r="AI62" s="135">
        <f t="shared" si="6"/>
        <v>98.1276064668528</v>
      </c>
      <c r="AK62" s="84"/>
    </row>
    <row r="63" spans="1:37" ht="20.25" customHeight="1">
      <c r="A63" s="20"/>
      <c r="B63" s="20"/>
      <c r="C63" s="21" t="s">
        <v>66</v>
      </c>
      <c r="D63" s="139" t="s">
        <v>68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200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66</v>
      </c>
      <c r="D65" s="139" t="s">
        <v>69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</f>
        <v>150000</v>
      </c>
      <c r="AI65" s="159">
        <f t="shared" si="6"/>
        <v>79.2916611603013</v>
      </c>
    </row>
    <row r="66" spans="1:37" ht="20.25" customHeight="1">
      <c r="A66" s="20"/>
      <c r="B66" s="20"/>
      <c r="C66" s="257" t="s">
        <v>70</v>
      </c>
      <c r="D66" s="139" t="s">
        <v>71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57"/>
      <c r="D67" s="139" t="s">
        <v>72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3594516.48</v>
      </c>
      <c r="AE67" s="130">
        <f>P67+P67*8.1%+319000</f>
        <v>3594516.48</v>
      </c>
      <c r="AF67" s="43"/>
      <c r="AG67" s="43"/>
      <c r="AH67" s="138">
        <f>650252+225720+335728+255610+322330+98235+227636+69632+220062+47200+209500+42432+73116+76160+37420+32712+96570+9744+45220+99960+42020+80645+56610</f>
        <v>3354514</v>
      </c>
      <c r="AI67" s="159">
        <f t="shared" si="6"/>
        <v>93.32309418150172</v>
      </c>
    </row>
    <row r="68" spans="1:35" ht="19.5" customHeight="1">
      <c r="A68" s="20"/>
      <c r="B68" s="20"/>
      <c r="C68" s="257"/>
      <c r="D68" s="139" t="s">
        <v>73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75670</v>
      </c>
      <c r="AE68" s="130">
        <f>P68+P68*8.1%</f>
        <v>75670</v>
      </c>
      <c r="AF68" s="43"/>
      <c r="AG68" s="43"/>
      <c r="AH68" s="134">
        <v>0</v>
      </c>
      <c r="AI68" s="159">
        <f t="shared" si="6"/>
        <v>0</v>
      </c>
    </row>
    <row r="69" spans="1:35" s="2" customFormat="1" ht="19.5" customHeight="1">
      <c r="A69" s="75" t="s">
        <v>101</v>
      </c>
      <c r="B69" s="75" t="s">
        <v>98</v>
      </c>
      <c r="C69" s="76"/>
      <c r="D69" s="110" t="s">
        <v>74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57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1202767.51</v>
      </c>
      <c r="AE69" s="118">
        <f>AE70+AE71+AE72</f>
        <v>1202767.51</v>
      </c>
      <c r="AF69" s="119"/>
      <c r="AG69" s="119"/>
      <c r="AH69" s="138">
        <f>AH70+AH71+AH72</f>
        <v>708553.1699999999</v>
      </c>
      <c r="AI69" s="135">
        <f t="shared" si="6"/>
        <v>58.910235278969246</v>
      </c>
    </row>
    <row r="70" spans="1:35" ht="18.75">
      <c r="A70" s="20"/>
      <c r="B70" s="20"/>
      <c r="C70" s="21" t="s">
        <v>75</v>
      </c>
      <c r="D70" s="139" t="s">
        <v>76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69" t="s">
        <v>77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</f>
        <v>553251.8899999999</v>
      </c>
      <c r="AI70" s="135">
        <f t="shared" si="6"/>
        <v>81.65690858258037</v>
      </c>
    </row>
    <row r="71" spans="1:35" ht="17.25" customHeight="1">
      <c r="A71" s="20"/>
      <c r="B71" s="20"/>
      <c r="C71" s="21" t="s">
        <v>75</v>
      </c>
      <c r="D71" s="139" t="s">
        <v>78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69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75</v>
      </c>
      <c r="D72" s="139" t="s">
        <v>33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57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69"/>
      <c r="AD72" s="117">
        <f t="shared" si="8"/>
        <v>411473.61</v>
      </c>
      <c r="AE72" s="34">
        <v>411473.61</v>
      </c>
      <c r="AF72" s="119"/>
      <c r="AG72" s="119"/>
      <c r="AH72" s="138">
        <f>5315.4+17844.91+18270.16+17221.51+18274.33</f>
        <v>76926.31</v>
      </c>
      <c r="AI72" s="135">
        <f t="shared" si="6"/>
        <v>18.695320460527228</v>
      </c>
    </row>
    <row r="73" spans="1:35" s="2" customFormat="1" ht="18.75">
      <c r="A73" s="75" t="s">
        <v>79</v>
      </c>
      <c r="B73" s="75" t="s">
        <v>25</v>
      </c>
      <c r="C73" s="76"/>
      <c r="D73" s="110" t="s">
        <v>80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70" t="s">
        <v>109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1987415.54</v>
      </c>
      <c r="AI73" s="135">
        <f t="shared" si="6"/>
        <v>74.89506858607176</v>
      </c>
    </row>
    <row r="74" spans="1:37" ht="33.75" customHeight="1">
      <c r="A74" s="20"/>
      <c r="B74" s="20"/>
      <c r="C74" s="21" t="s">
        <v>110</v>
      </c>
      <c r="D74" s="147" t="s">
        <v>111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70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1314692.7+17925+3943.5+11938.1+34638.95+5673.54</f>
        <v>1388811.79</v>
      </c>
      <c r="AI74" s="135">
        <f t="shared" si="6"/>
        <v>73.94770193280443</v>
      </c>
      <c r="AK74" s="84"/>
    </row>
    <row r="75" spans="1:35" s="1" customFormat="1" ht="17.25" customHeight="1">
      <c r="A75" s="20"/>
      <c r="B75" s="20"/>
      <c r="C75" s="21" t="s">
        <v>110</v>
      </c>
      <c r="D75" s="139" t="s">
        <v>112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70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</f>
        <v>31217.37</v>
      </c>
      <c r="AI75" s="135">
        <f t="shared" si="6"/>
        <v>86.47470914127423</v>
      </c>
    </row>
    <row r="76" spans="1:35" s="1" customFormat="1" ht="17.25" customHeight="1">
      <c r="A76" s="20"/>
      <c r="B76" s="20"/>
      <c r="C76" s="21"/>
      <c r="D76" s="139" t="s">
        <v>113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70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</f>
        <v>5464.15</v>
      </c>
      <c r="AI76" s="135">
        <f t="shared" si="6"/>
        <v>18.712842465753425</v>
      </c>
    </row>
    <row r="77" spans="1:35" s="1" customFormat="1" ht="36" customHeight="1">
      <c r="A77" s="20"/>
      <c r="B77" s="20"/>
      <c r="C77" s="21" t="s">
        <v>110</v>
      </c>
      <c r="D77" s="147" t="s">
        <v>114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57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70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496919.07+14188.75+10157.5+2234.65+31558.82+6863.44</f>
        <v>561922.23</v>
      </c>
      <c r="AI77" s="135">
        <f t="shared" si="6"/>
        <v>79.12168825682906</v>
      </c>
    </row>
    <row r="78" spans="1:35" s="2" customFormat="1" ht="18.75">
      <c r="A78" s="75"/>
      <c r="B78" s="75" t="s">
        <v>26</v>
      </c>
      <c r="C78" s="76"/>
      <c r="D78" s="144" t="s">
        <v>115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18949819.408198997</v>
      </c>
      <c r="AE78" s="118">
        <f>AE79+AE80+AE81+AE82+AE83</f>
        <v>18949819.408198997</v>
      </c>
      <c r="AF78" s="119"/>
      <c r="AG78" s="119"/>
      <c r="AH78" s="138">
        <f>AH79+AH80+AH81+AH82</f>
        <v>18203397.639999997</v>
      </c>
      <c r="AI78" s="135">
        <f t="shared" si="6"/>
        <v>96.06106131082153</v>
      </c>
    </row>
    <row r="79" spans="1:35" ht="18.75">
      <c r="A79" s="18" t="s">
        <v>116</v>
      </c>
      <c r="B79" s="18"/>
      <c r="C79" s="21" t="s">
        <v>117</v>
      </c>
      <c r="D79" s="147" t="s">
        <v>118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119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120</v>
      </c>
      <c r="B80" s="18"/>
      <c r="C80" s="21" t="s">
        <v>117</v>
      </c>
      <c r="D80" s="139" t="s">
        <v>121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12584142.54</v>
      </c>
      <c r="AE80" s="34">
        <v>12584142.54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99.99976073061868</v>
      </c>
    </row>
    <row r="81" spans="1:35" ht="16.5" customHeight="1">
      <c r="A81" s="18"/>
      <c r="B81" s="18"/>
      <c r="C81" s="21"/>
      <c r="D81" s="139" t="s">
        <v>122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123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18.75">
      <c r="A83" s="18"/>
      <c r="B83" s="18"/>
      <c r="C83" s="21"/>
      <c r="D83" s="139" t="s">
        <v>216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>
        <v>0</v>
      </c>
      <c r="AI83" s="135">
        <f t="shared" si="6"/>
        <v>0</v>
      </c>
    </row>
    <row r="84" spans="1:35" s="2" customFormat="1" ht="18.75">
      <c r="A84" s="75" t="s">
        <v>124</v>
      </c>
      <c r="B84" s="75" t="s">
        <v>27</v>
      </c>
      <c r="C84" s="76" t="s">
        <v>126</v>
      </c>
      <c r="D84" s="110" t="s">
        <v>127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201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4">AH85/AE85*100</f>
        <v>64.93827968500551</v>
      </c>
    </row>
    <row r="86" spans="1:35" s="2" customFormat="1" ht="47.25">
      <c r="A86" s="75"/>
      <c r="B86" s="75"/>
      <c r="C86" s="76"/>
      <c r="D86" s="139" t="s">
        <v>225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128</v>
      </c>
      <c r="B87" s="75" t="s">
        <v>28</v>
      </c>
      <c r="C87" s="76" t="s">
        <v>130</v>
      </c>
      <c r="D87" s="110" t="s">
        <v>131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7173700</v>
      </c>
      <c r="AE87" s="153">
        <f>AE88+AE95+AE94</f>
        <v>7173700</v>
      </c>
      <c r="AF87" s="119"/>
      <c r="AG87" s="119"/>
      <c r="AH87" s="138">
        <f>AH88+AH95+AH94</f>
        <v>6161479.880000001</v>
      </c>
      <c r="AI87" s="135">
        <f t="shared" si="14"/>
        <v>85.88984596512262</v>
      </c>
    </row>
    <row r="88" spans="1:37" ht="35.25" customHeight="1">
      <c r="A88" s="18"/>
      <c r="B88" s="18"/>
      <c r="C88" s="21"/>
      <c r="D88" s="139" t="s">
        <v>222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132</v>
      </c>
      <c r="AD88" s="169">
        <f t="shared" si="13"/>
        <v>7066216</v>
      </c>
      <c r="AE88" s="34">
        <v>7066216</v>
      </c>
      <c r="AF88" s="119"/>
      <c r="AG88" s="119"/>
      <c r="AH88" s="170">
        <f>5530620.2+275969.32+322560.66</f>
        <v>6129150.180000001</v>
      </c>
      <c r="AI88" s="150">
        <f t="shared" si="14"/>
        <v>86.73878890766997</v>
      </c>
      <c r="AK88" s="28"/>
    </row>
    <row r="89" spans="1:35" ht="17.25" hidden="1">
      <c r="A89" s="18"/>
      <c r="B89" s="18"/>
      <c r="C89" s="21"/>
      <c r="D89" s="139" t="s">
        <v>133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134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135</v>
      </c>
      <c r="B91" s="18"/>
      <c r="C91" s="27"/>
      <c r="D91" s="171" t="s">
        <v>136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56" t="s">
        <v>137</v>
      </c>
      <c r="D92" s="174" t="s">
        <v>83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56"/>
      <c r="D93" s="178" t="s">
        <v>84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232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202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29</v>
      </c>
      <c r="C96" s="76" t="s">
        <v>86</v>
      </c>
      <c r="D96" s="110" t="s">
        <v>87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>
        <f>Z97+Z98</f>
        <v>212856.4</v>
      </c>
      <c r="AA96" s="151"/>
      <c r="AB96" s="152">
        <f aca="true" t="shared" si="17" ref="AB96:AB110">Z96-P96</f>
        <v>212856.4</v>
      </c>
      <c r="AC96" s="119"/>
      <c r="AD96" s="117">
        <f aca="true" t="shared" si="18" ref="AD96:AD110">AE96+AF96</f>
        <v>212856.4</v>
      </c>
      <c r="AE96" s="153">
        <f>AE97+AE98</f>
        <v>212856.4</v>
      </c>
      <c r="AF96" s="119"/>
      <c r="AG96" s="119"/>
      <c r="AH96" s="138">
        <f>AH97+AH98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142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10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ht="19.5" customHeight="1">
      <c r="A98" s="20"/>
      <c r="B98" s="20"/>
      <c r="C98" s="21"/>
      <c r="D98" s="139" t="s">
        <v>143</v>
      </c>
      <c r="E98" s="172"/>
      <c r="F98" s="172"/>
      <c r="G98" s="172"/>
      <c r="H98" s="172"/>
      <c r="I98" s="172"/>
      <c r="J98" s="172"/>
      <c r="K98" s="172"/>
      <c r="L98" s="172"/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/>
      <c r="V98" s="128">
        <f>P98*(0.9)</f>
        <v>0</v>
      </c>
      <c r="W98" s="128"/>
      <c r="X98" s="142">
        <v>0</v>
      </c>
      <c r="Y98" s="142">
        <v>0</v>
      </c>
      <c r="Z98" s="34">
        <v>112856.4</v>
      </c>
      <c r="AA98" s="128" t="e">
        <f t="shared" si="19"/>
        <v>#DIV/0!</v>
      </c>
      <c r="AB98" s="161">
        <f t="shared" si="17"/>
        <v>112856.4</v>
      </c>
      <c r="AC98" s="119"/>
      <c r="AD98" s="169">
        <f t="shared" si="18"/>
        <v>112856.4</v>
      </c>
      <c r="AE98" s="34">
        <v>112856.4</v>
      </c>
      <c r="AF98" s="119"/>
      <c r="AG98" s="119"/>
      <c r="AH98" s="170">
        <v>0</v>
      </c>
      <c r="AI98" s="150">
        <f t="shared" si="14"/>
        <v>0</v>
      </c>
    </row>
    <row r="99" spans="1:35" s="2" customFormat="1" ht="22.5" customHeight="1">
      <c r="A99" s="75" t="s">
        <v>144</v>
      </c>
      <c r="B99" s="75" t="s">
        <v>30</v>
      </c>
      <c r="C99" s="76"/>
      <c r="D99" s="179" t="s">
        <v>146</v>
      </c>
      <c r="E99" s="180"/>
      <c r="F99" s="180"/>
      <c r="G99" s="180"/>
      <c r="H99" s="180"/>
      <c r="I99" s="180"/>
      <c r="J99" s="180"/>
      <c r="K99" s="180"/>
      <c r="L99" s="180"/>
      <c r="M99" s="181">
        <f>M101+M100</f>
        <v>325000</v>
      </c>
      <c r="N99" s="180"/>
      <c r="O99" s="148">
        <f aca="true" t="shared" si="20" ref="O99:O110">P99+Q99</f>
        <v>2067000</v>
      </c>
      <c r="P99" s="118">
        <f aca="true" t="shared" si="21" ref="P99:P110">Q99+R99</f>
        <v>1033500</v>
      </c>
      <c r="Q99" s="182">
        <f>Q101+Q100</f>
        <v>1033500</v>
      </c>
      <c r="R99" s="99"/>
      <c r="S99" s="99"/>
      <c r="T99" s="182">
        <f>T101+T100</f>
        <v>669069.4899999999</v>
      </c>
      <c r="U99" s="182"/>
      <c r="V99" s="182">
        <f>V101+V100</f>
        <v>1189112</v>
      </c>
      <c r="W99" s="149"/>
      <c r="X99" s="182">
        <f>X101+X100</f>
        <v>669069.4899999999</v>
      </c>
      <c r="Y99" s="150">
        <f>X99/P99*100</f>
        <v>64.73821867440735</v>
      </c>
      <c r="Z99" s="183">
        <f>Z101+Z100</f>
        <v>1189112</v>
      </c>
      <c r="AA99" s="149">
        <f t="shared" si="19"/>
        <v>115.05679729075955</v>
      </c>
      <c r="AB99" s="166">
        <f t="shared" si="17"/>
        <v>155612</v>
      </c>
      <c r="AC99" s="264" t="s">
        <v>147</v>
      </c>
      <c r="AD99" s="117">
        <f t="shared" si="18"/>
        <v>1189112</v>
      </c>
      <c r="AE99" s="184">
        <v>1189112</v>
      </c>
      <c r="AF99" s="119"/>
      <c r="AG99" s="119"/>
      <c r="AH99" s="138">
        <f>AH100+AH101</f>
        <v>336799.66000000003</v>
      </c>
      <c r="AI99" s="135">
        <f t="shared" si="14"/>
        <v>28.323628051857185</v>
      </c>
    </row>
    <row r="100" spans="1:35" ht="18.75">
      <c r="A100" s="20"/>
      <c r="B100" s="20"/>
      <c r="C100" s="21" t="s">
        <v>148</v>
      </c>
      <c r="D100" s="139" t="s">
        <v>149</v>
      </c>
      <c r="E100" s="180"/>
      <c r="F100" s="180"/>
      <c r="G100" s="180"/>
      <c r="H100" s="180"/>
      <c r="I100" s="180"/>
      <c r="J100" s="180"/>
      <c r="K100" s="180"/>
      <c r="L100" s="180"/>
      <c r="M100" s="185">
        <v>225000</v>
      </c>
      <c r="N100" s="180"/>
      <c r="O100" s="145">
        <f t="shared" si="20"/>
        <v>1867000</v>
      </c>
      <c r="P100" s="142">
        <f t="shared" si="21"/>
        <v>933500</v>
      </c>
      <c r="Q100" s="186">
        <f>225000+378500+30000+300000</f>
        <v>933500</v>
      </c>
      <c r="R100" s="99"/>
      <c r="S100" s="99"/>
      <c r="T100" s="186">
        <f>12823.97+314438.51+1053.06+121644.29+64211.93+20568.88+13082.39+4993.7+64170</f>
        <v>616986.7299999999</v>
      </c>
      <c r="U100" s="186"/>
      <c r="V100" s="156">
        <v>1089113.5</v>
      </c>
      <c r="W100" s="131"/>
      <c r="X100" s="186">
        <f>12823.97+314438.51+1053.06+121644.29+64211.93+20568.88+13082.39+4993.7+64170</f>
        <v>616986.7299999999</v>
      </c>
      <c r="Y100" s="150">
        <f>X100/P100*100</f>
        <v>66.09391858596678</v>
      </c>
      <c r="Z100" s="34">
        <v>1089113.5</v>
      </c>
      <c r="AA100" s="131">
        <f t="shared" si="19"/>
        <v>116.66989823245848</v>
      </c>
      <c r="AB100" s="132">
        <f t="shared" si="17"/>
        <v>155613.5</v>
      </c>
      <c r="AC100" s="264"/>
      <c r="AD100" s="169">
        <f t="shared" si="18"/>
        <v>1089113.5</v>
      </c>
      <c r="AE100" s="177">
        <f>Z100</f>
        <v>1089113.5</v>
      </c>
      <c r="AF100" s="119"/>
      <c r="AG100" s="119"/>
      <c r="AH100" s="170">
        <f>64659.38+110882.59+138297.43</f>
        <v>313839.4</v>
      </c>
      <c r="AI100" s="150">
        <f t="shared" si="14"/>
        <v>28.816041670588056</v>
      </c>
    </row>
    <row r="101" spans="1:35" ht="18.75">
      <c r="A101" s="20"/>
      <c r="B101" s="20"/>
      <c r="C101" s="21" t="s">
        <v>148</v>
      </c>
      <c r="D101" s="139" t="s">
        <v>150</v>
      </c>
      <c r="E101" s="180"/>
      <c r="F101" s="180"/>
      <c r="G101" s="180"/>
      <c r="H101" s="180"/>
      <c r="I101" s="180"/>
      <c r="J101" s="180"/>
      <c r="K101" s="180"/>
      <c r="L101" s="180"/>
      <c r="M101" s="185">
        <v>100000</v>
      </c>
      <c r="N101" s="180"/>
      <c r="O101" s="145">
        <f t="shared" si="20"/>
        <v>200000</v>
      </c>
      <c r="P101" s="142">
        <f t="shared" si="21"/>
        <v>100000</v>
      </c>
      <c r="Q101" s="186">
        <v>100000</v>
      </c>
      <c r="R101" s="99"/>
      <c r="S101" s="99"/>
      <c r="T101" s="186">
        <f>385.27+6084.22+13129.31+12261.98+8270.72+11951.26</f>
        <v>52082.76</v>
      </c>
      <c r="U101" s="186"/>
      <c r="V101" s="156">
        <v>99998.5</v>
      </c>
      <c r="W101" s="131"/>
      <c r="X101" s="186">
        <f>385.27+6084.22+13129.31+12261.98+8270.72+11951.26</f>
        <v>52082.76</v>
      </c>
      <c r="Y101" s="150">
        <f>X101/P101*100</f>
        <v>52.08276000000001</v>
      </c>
      <c r="Z101" s="34">
        <v>99998.5</v>
      </c>
      <c r="AA101" s="131">
        <f t="shared" si="19"/>
        <v>99.9985</v>
      </c>
      <c r="AB101" s="132">
        <f t="shared" si="17"/>
        <v>-1.5</v>
      </c>
      <c r="AC101" s="264"/>
      <c r="AD101" s="169">
        <f t="shared" si="18"/>
        <v>99998.5</v>
      </c>
      <c r="AE101" s="177">
        <f>Z101</f>
        <v>99998.5</v>
      </c>
      <c r="AF101" s="119"/>
      <c r="AG101" s="119"/>
      <c r="AH101" s="170">
        <f>3627.67+2979.18+4331.94+2234.3+2184.74+3594.72+2619.8+1387.91</f>
        <v>22960.26</v>
      </c>
      <c r="AI101" s="150">
        <f t="shared" si="14"/>
        <v>22.960604409066136</v>
      </c>
    </row>
    <row r="102" spans="1:35" s="2" customFormat="1" ht="18.75">
      <c r="A102" s="75" t="s">
        <v>151</v>
      </c>
      <c r="B102" s="75" t="s">
        <v>31</v>
      </c>
      <c r="C102" s="76" t="s">
        <v>148</v>
      </c>
      <c r="D102" s="110" t="s">
        <v>153</v>
      </c>
      <c r="E102" s="140" t="e">
        <f>#REF!+#REF!</f>
        <v>#REF!</v>
      </c>
      <c r="F102" s="140" t="e">
        <f>#REF!+#REF!</f>
        <v>#REF!</v>
      </c>
      <c r="G102" s="140" t="e">
        <f>#REF!+#REF!</f>
        <v>#REF!</v>
      </c>
      <c r="H102" s="140" t="e">
        <f>#REF!+#REF!</f>
        <v>#REF!</v>
      </c>
      <c r="I102" s="140" t="e">
        <f>#REF!+#REF!</f>
        <v>#REF!</v>
      </c>
      <c r="J102" s="140"/>
      <c r="K102" s="140">
        <v>3916.0000000000005</v>
      </c>
      <c r="L102" s="140"/>
      <c r="M102" s="118">
        <v>59112.8</v>
      </c>
      <c r="N102" s="140"/>
      <c r="O102" s="148">
        <f t="shared" si="20"/>
        <v>118225.6</v>
      </c>
      <c r="P102" s="118">
        <f t="shared" si="21"/>
        <v>59112.8</v>
      </c>
      <c r="Q102" s="151">
        <f>59136-23.2</f>
        <v>59112.8</v>
      </c>
      <c r="R102" s="119"/>
      <c r="S102" s="119"/>
      <c r="T102" s="151">
        <v>15318.9</v>
      </c>
      <c r="U102" s="151"/>
      <c r="V102" s="151">
        <v>208100</v>
      </c>
      <c r="W102" s="151"/>
      <c r="X102" s="151">
        <v>15318.9</v>
      </c>
      <c r="Y102" s="135">
        <f>X102/P102*100</f>
        <v>25.91469191105818</v>
      </c>
      <c r="Z102" s="153">
        <v>208100</v>
      </c>
      <c r="AA102" s="151">
        <f t="shared" si="19"/>
        <v>352.03881392862456</v>
      </c>
      <c r="AB102" s="152">
        <f t="shared" si="17"/>
        <v>148987.2</v>
      </c>
      <c r="AC102" s="119" t="s">
        <v>154</v>
      </c>
      <c r="AD102" s="117">
        <f t="shared" si="18"/>
        <v>76052.53</v>
      </c>
      <c r="AE102" s="153">
        <f>P102+11241.06+5698.67</f>
        <v>76052.53</v>
      </c>
      <c r="AF102" s="119"/>
      <c r="AG102" s="119"/>
      <c r="AH102" s="138">
        <v>32017.68</v>
      </c>
      <c r="AI102" s="135">
        <f t="shared" si="14"/>
        <v>42.09942785598323</v>
      </c>
    </row>
    <row r="103" spans="1:35" s="2" customFormat="1" ht="18.75">
      <c r="A103" s="75" t="s">
        <v>155</v>
      </c>
      <c r="B103" s="75" t="s">
        <v>32</v>
      </c>
      <c r="C103" s="76" t="s">
        <v>148</v>
      </c>
      <c r="D103" s="110" t="s">
        <v>157</v>
      </c>
      <c r="E103" s="140"/>
      <c r="F103" s="140"/>
      <c r="G103" s="140"/>
      <c r="H103" s="140"/>
      <c r="I103" s="140"/>
      <c r="J103" s="140"/>
      <c r="K103" s="140"/>
      <c r="L103" s="140"/>
      <c r="M103" s="118">
        <v>0</v>
      </c>
      <c r="N103" s="140"/>
      <c r="O103" s="148">
        <f t="shared" si="20"/>
        <v>54000</v>
      </c>
      <c r="P103" s="118">
        <f t="shared" si="21"/>
        <v>27000</v>
      </c>
      <c r="Q103" s="151">
        <v>27000</v>
      </c>
      <c r="R103" s="119"/>
      <c r="S103" s="119"/>
      <c r="T103" s="151">
        <f>8994.7+8994.7</f>
        <v>17989.4</v>
      </c>
      <c r="U103" s="151"/>
      <c r="V103" s="151">
        <v>62426.4</v>
      </c>
      <c r="W103" s="151"/>
      <c r="X103" s="151">
        <f>8994.7+8994.7</f>
        <v>17989.4</v>
      </c>
      <c r="Y103" s="135"/>
      <c r="Z103" s="153">
        <v>62426.4</v>
      </c>
      <c r="AA103" s="151">
        <f t="shared" si="19"/>
        <v>231.20888888888888</v>
      </c>
      <c r="AB103" s="152">
        <f t="shared" si="17"/>
        <v>35426.4</v>
      </c>
      <c r="AC103" s="119" t="s">
        <v>77</v>
      </c>
      <c r="AD103" s="117">
        <f t="shared" si="18"/>
        <v>107172</v>
      </c>
      <c r="AE103" s="153">
        <f>62426.4+44745.6</f>
        <v>107172</v>
      </c>
      <c r="AF103" s="119"/>
      <c r="AG103" s="119"/>
      <c r="AH103" s="138">
        <f>20125.35+17371.35+1115.07+798.02+17760.4+17760.4+938.05+17760.4+594.52+1654.98</f>
        <v>95878.54000000001</v>
      </c>
      <c r="AI103" s="135">
        <f t="shared" si="14"/>
        <v>89.46230358675774</v>
      </c>
    </row>
    <row r="104" spans="1:35" ht="30" hidden="1">
      <c r="A104" s="18" t="s">
        <v>158</v>
      </c>
      <c r="B104" s="18" t="s">
        <v>159</v>
      </c>
      <c r="C104" s="19" t="s">
        <v>160</v>
      </c>
      <c r="D104" s="171" t="s">
        <v>161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10951615.36</v>
      </c>
      <c r="P104" s="167">
        <f t="shared" si="21"/>
        <v>5475807.68</v>
      </c>
      <c r="Q104" s="128">
        <v>5475807.68</v>
      </c>
      <c r="R104" s="187"/>
      <c r="S104" s="119"/>
      <c r="T104" s="186">
        <v>5475807.68</v>
      </c>
      <c r="U104" s="186"/>
      <c r="V104" s="128">
        <v>0</v>
      </c>
      <c r="W104" s="128"/>
      <c r="X104" s="186">
        <v>5475807.68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-5475807.68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0" hidden="1">
      <c r="A105" s="18" t="s">
        <v>162</v>
      </c>
      <c r="B105" s="18" t="s">
        <v>163</v>
      </c>
      <c r="C105" s="19" t="s">
        <v>160</v>
      </c>
      <c r="D105" s="171" t="s">
        <v>164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340762.28</v>
      </c>
      <c r="P105" s="167">
        <f t="shared" si="21"/>
        <v>170381.14</v>
      </c>
      <c r="Q105" s="128">
        <f>550000-379618.86</f>
        <v>170381.14</v>
      </c>
      <c r="R105" s="187"/>
      <c r="S105" s="119"/>
      <c r="T105" s="186">
        <v>170381.14</v>
      </c>
      <c r="U105" s="186"/>
      <c r="V105" s="128">
        <v>0</v>
      </c>
      <c r="W105" s="128"/>
      <c r="X105" s="186">
        <v>170381.14</v>
      </c>
      <c r="Y105" s="150">
        <f>X105/P105*100</f>
        <v>100</v>
      </c>
      <c r="Z105" s="167">
        <f>Z106+Z107+Z108</f>
        <v>0</v>
      </c>
      <c r="AA105" s="128">
        <f t="shared" si="19"/>
        <v>0</v>
      </c>
      <c r="AB105" s="161">
        <f t="shared" si="17"/>
        <v>-170381.14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32.25" customHeight="1" hidden="1">
      <c r="A106" s="18" t="s">
        <v>165</v>
      </c>
      <c r="B106" s="18" t="s">
        <v>166</v>
      </c>
      <c r="C106" s="19" t="s">
        <v>160</v>
      </c>
      <c r="D106" s="171" t="s">
        <v>167</v>
      </c>
      <c r="E106" s="172"/>
      <c r="F106" s="172"/>
      <c r="G106" s="172"/>
      <c r="H106" s="172"/>
      <c r="I106" s="172"/>
      <c r="J106" s="172"/>
      <c r="K106" s="172"/>
      <c r="L106" s="172"/>
      <c r="M106" s="167">
        <v>0</v>
      </c>
      <c r="N106" s="172"/>
      <c r="O106" s="168">
        <f t="shared" si="20"/>
        <v>610364</v>
      </c>
      <c r="P106" s="167">
        <f t="shared" si="21"/>
        <v>305182</v>
      </c>
      <c r="Q106" s="128">
        <v>305182</v>
      </c>
      <c r="R106" s="187"/>
      <c r="S106" s="119"/>
      <c r="T106" s="186"/>
      <c r="U106" s="186"/>
      <c r="V106" s="128">
        <v>0</v>
      </c>
      <c r="W106" s="128"/>
      <c r="X106" s="186"/>
      <c r="Y106" s="150"/>
      <c r="Z106" s="167">
        <f>Z107+Z108+Z109</f>
        <v>0</v>
      </c>
      <c r="AA106" s="128">
        <f t="shared" si="19"/>
        <v>0</v>
      </c>
      <c r="AB106" s="161">
        <f t="shared" si="17"/>
        <v>-305182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51.75" customHeight="1" hidden="1">
      <c r="A107" s="18" t="s">
        <v>168</v>
      </c>
      <c r="B107" s="18" t="s">
        <v>169</v>
      </c>
      <c r="C107" s="19" t="s">
        <v>170</v>
      </c>
      <c r="D107" s="171" t="s">
        <v>171</v>
      </c>
      <c r="E107" s="172"/>
      <c r="F107" s="172"/>
      <c r="G107" s="172"/>
      <c r="H107" s="172"/>
      <c r="I107" s="172"/>
      <c r="J107" s="172"/>
      <c r="K107" s="172"/>
      <c r="L107" s="172"/>
      <c r="M107" s="167">
        <f>M108+M109+M110</f>
        <v>0</v>
      </c>
      <c r="N107" s="172"/>
      <c r="O107" s="168">
        <f t="shared" si="20"/>
        <v>20012024</v>
      </c>
      <c r="P107" s="167">
        <f t="shared" si="21"/>
        <v>10006012</v>
      </c>
      <c r="Q107" s="128">
        <f>Q108+Q109+Q110</f>
        <v>10006012</v>
      </c>
      <c r="R107" s="188"/>
      <c r="S107" s="119"/>
      <c r="T107" s="128">
        <f>T108+T109+T110</f>
        <v>7554942</v>
      </c>
      <c r="U107" s="128"/>
      <c r="V107" s="128">
        <v>0</v>
      </c>
      <c r="W107" s="128"/>
      <c r="X107" s="128">
        <f>X108+X109+X110</f>
        <v>7554942</v>
      </c>
      <c r="Y107" s="120">
        <f>X107/P107*100</f>
        <v>75.50402697898024</v>
      </c>
      <c r="Z107" s="167">
        <f>Z108+Z109+Z110</f>
        <v>0</v>
      </c>
      <c r="AA107" s="128">
        <f t="shared" si="19"/>
        <v>0</v>
      </c>
      <c r="AB107" s="161">
        <f t="shared" si="17"/>
        <v>-10006012</v>
      </c>
      <c r="AC107" s="119"/>
      <c r="AD107" s="117">
        <f t="shared" si="18"/>
        <v>0</v>
      </c>
      <c r="AE107" s="167">
        <f>AE108+AE109+AE110</f>
        <v>0</v>
      </c>
      <c r="AF107" s="119"/>
      <c r="AG107" s="119"/>
      <c r="AH107" s="138"/>
      <c r="AI107" s="135" t="e">
        <f t="shared" si="14"/>
        <v>#DIV/0!</v>
      </c>
    </row>
    <row r="108" spans="1:35" ht="24" customHeight="1" hidden="1">
      <c r="A108" s="18"/>
      <c r="B108" s="18"/>
      <c r="C108" s="21"/>
      <c r="D108" s="139" t="s">
        <v>172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4000000</v>
      </c>
      <c r="P108" s="142">
        <f t="shared" si="21"/>
        <v>2000000</v>
      </c>
      <c r="Q108" s="149">
        <f>1500000+500000</f>
        <v>2000000</v>
      </c>
      <c r="R108" s="188"/>
      <c r="S108" s="119"/>
      <c r="T108" s="186">
        <f>185695.2+283914.6+257099.4+99340.8+62907.6+129854.4+71424+72591.6+236332.8+190290+101258.4+5511.6+10389.6</f>
        <v>1706610.0000000002</v>
      </c>
      <c r="U108" s="186"/>
      <c r="V108" s="128">
        <v>0</v>
      </c>
      <c r="W108" s="128"/>
      <c r="X108" s="186">
        <f>185695.2+283914.6+257099.4+99340.8+62907.6+129854.4+71424+72591.6+236332.8+190290+101258.4+5511.6+10389.6</f>
        <v>1706610.0000000002</v>
      </c>
      <c r="Y108" s="150">
        <f>X108/P108*100</f>
        <v>85.33050000000001</v>
      </c>
      <c r="Z108" s="34">
        <v>0</v>
      </c>
      <c r="AA108" s="128">
        <f t="shared" si="19"/>
        <v>0</v>
      </c>
      <c r="AB108" s="161">
        <f t="shared" si="17"/>
        <v>-2000000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17.25" hidden="1">
      <c r="A109" s="18"/>
      <c r="B109" s="18"/>
      <c r="C109" s="21"/>
      <c r="D109" s="139" t="s">
        <v>173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9012024</v>
      </c>
      <c r="P109" s="142">
        <f t="shared" si="21"/>
        <v>4506012</v>
      </c>
      <c r="Q109" s="149">
        <f>5000000-500000+6012</f>
        <v>4506012</v>
      </c>
      <c r="R109" s="188"/>
      <c r="S109" s="119"/>
      <c r="T109" s="186">
        <f>309091.2+295428.55+104848.25+410089.8+99821.4+824466.6+79300.2-85899.6+234306+338492.4+314325+469128-30844.2+68012.4+172592.4+166410+6012</f>
        <v>3775580.3999999994</v>
      </c>
      <c r="U109" s="186"/>
      <c r="V109" s="128">
        <v>0</v>
      </c>
      <c r="W109" s="128"/>
      <c r="X109" s="186">
        <f>309091.2+295428.55+104848.25+410089.8+99821.4+824466.6+79300.2-85899.6+234306+338492.4+314325+469128-30844.2+68012.4+172592.4+166410+6012</f>
        <v>3775580.3999999994</v>
      </c>
      <c r="Y109" s="150">
        <f>X109/P109*100</f>
        <v>83.78984343583637</v>
      </c>
      <c r="Z109" s="34">
        <v>0</v>
      </c>
      <c r="AA109" s="128">
        <f t="shared" si="19"/>
        <v>0</v>
      </c>
      <c r="AB109" s="161">
        <f t="shared" si="17"/>
        <v>-4506012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 hidden="1">
      <c r="A110" s="18"/>
      <c r="B110" s="18"/>
      <c r="C110" s="21"/>
      <c r="D110" s="139" t="s">
        <v>174</v>
      </c>
      <c r="E110" s="172"/>
      <c r="F110" s="172"/>
      <c r="G110" s="172"/>
      <c r="H110" s="172"/>
      <c r="I110" s="172"/>
      <c r="J110" s="172"/>
      <c r="K110" s="172"/>
      <c r="L110" s="172"/>
      <c r="M110" s="142">
        <v>0</v>
      </c>
      <c r="N110" s="172"/>
      <c r="O110" s="145">
        <f t="shared" si="20"/>
        <v>7000000</v>
      </c>
      <c r="P110" s="142">
        <f t="shared" si="21"/>
        <v>3500000</v>
      </c>
      <c r="Q110" s="149">
        <v>3500000</v>
      </c>
      <c r="R110" s="188"/>
      <c r="S110" s="119"/>
      <c r="T110" s="186">
        <v>2072751.6</v>
      </c>
      <c r="U110" s="186"/>
      <c r="V110" s="128">
        <v>0</v>
      </c>
      <c r="W110" s="128"/>
      <c r="X110" s="186">
        <v>2072751.6</v>
      </c>
      <c r="Y110" s="150">
        <f>X110/P110*100</f>
        <v>59.221474285714294</v>
      </c>
      <c r="Z110" s="34">
        <v>0</v>
      </c>
      <c r="AA110" s="128">
        <f t="shared" si="19"/>
        <v>0</v>
      </c>
      <c r="AB110" s="161">
        <f t="shared" si="17"/>
        <v>-3500000</v>
      </c>
      <c r="AC110" s="119"/>
      <c r="AD110" s="117">
        <f t="shared" si="18"/>
        <v>0</v>
      </c>
      <c r="AE110" s="153"/>
      <c r="AF110" s="119"/>
      <c r="AG110" s="119"/>
      <c r="AH110" s="138"/>
      <c r="AI110" s="135" t="e">
        <f t="shared" si="14"/>
        <v>#DIV/0!</v>
      </c>
    </row>
    <row r="111" spans="1:35" ht="21" customHeight="1">
      <c r="A111" s="18"/>
      <c r="B111" s="18"/>
      <c r="C111" s="21"/>
      <c r="D111" s="139" t="s">
        <v>217</v>
      </c>
      <c r="E111" s="172"/>
      <c r="F111" s="172"/>
      <c r="G111" s="172"/>
      <c r="H111" s="172"/>
      <c r="I111" s="172"/>
      <c r="J111" s="172"/>
      <c r="K111" s="172"/>
      <c r="L111" s="172"/>
      <c r="M111" s="142"/>
      <c r="N111" s="172"/>
      <c r="O111" s="145"/>
      <c r="P111" s="142"/>
      <c r="Q111" s="149"/>
      <c r="R111" s="188"/>
      <c r="S111" s="119"/>
      <c r="T111" s="186"/>
      <c r="U111" s="186"/>
      <c r="V111" s="128"/>
      <c r="W111" s="128"/>
      <c r="X111" s="186"/>
      <c r="Y111" s="150"/>
      <c r="Z111" s="34"/>
      <c r="AA111" s="128"/>
      <c r="AB111" s="161"/>
      <c r="AC111" s="119"/>
      <c r="AD111" s="189">
        <f>AE111</f>
        <v>11806.56</v>
      </c>
      <c r="AE111" s="153">
        <v>11806.56</v>
      </c>
      <c r="AF111" s="119"/>
      <c r="AG111" s="119"/>
      <c r="AH111" s="138">
        <f>1115.07+798.02+938.05+594.52</f>
        <v>3445.66</v>
      </c>
      <c r="AI111" s="135">
        <f t="shared" si="14"/>
        <v>29.184283991272647</v>
      </c>
    </row>
    <row r="112" spans="1:35" ht="64.5" customHeight="1">
      <c r="A112" s="18"/>
      <c r="B112" s="20" t="s">
        <v>206</v>
      </c>
      <c r="C112" s="21"/>
      <c r="D112" s="190" t="s">
        <v>226</v>
      </c>
      <c r="E112" s="123"/>
      <c r="F112" s="123"/>
      <c r="G112" s="123"/>
      <c r="H112" s="123"/>
      <c r="I112" s="123"/>
      <c r="J112" s="123"/>
      <c r="K112" s="123"/>
      <c r="L112" s="123"/>
      <c r="M112" s="191"/>
      <c r="N112" s="123"/>
      <c r="O112" s="192"/>
      <c r="P112" s="191"/>
      <c r="Q112" s="193"/>
      <c r="R112" s="194"/>
      <c r="S112" s="194"/>
      <c r="T112" s="193"/>
      <c r="U112" s="193"/>
      <c r="V112" s="193"/>
      <c r="W112" s="193"/>
      <c r="X112" s="193"/>
      <c r="Y112" s="195"/>
      <c r="Z112" s="196"/>
      <c r="AA112" s="193"/>
      <c r="AB112" s="197"/>
      <c r="AC112" s="194"/>
      <c r="AD112" s="198">
        <f>AE112</f>
        <v>666836.4</v>
      </c>
      <c r="AE112" s="196">
        <v>666836.4</v>
      </c>
      <c r="AF112" s="43"/>
      <c r="AG112" s="43"/>
      <c r="AH112" s="153">
        <f>606679.2+57642</f>
        <v>664321.2</v>
      </c>
      <c r="AI112" s="135">
        <f t="shared" si="14"/>
        <v>99.62281603103848</v>
      </c>
    </row>
    <row r="113" spans="1:35" ht="21" customHeight="1">
      <c r="A113" s="18"/>
      <c r="B113" s="15" t="s">
        <v>23</v>
      </c>
      <c r="C113" s="16">
        <v>1</v>
      </c>
      <c r="D113" s="103" t="s">
        <v>175</v>
      </c>
      <c r="E113" s="65"/>
      <c r="F113" s="65"/>
      <c r="G113" s="66"/>
      <c r="H113" s="65"/>
      <c r="I113" s="65"/>
      <c r="J113" s="67"/>
      <c r="K113" s="67"/>
      <c r="L113" s="67"/>
      <c r="M113" s="199">
        <f>M114</f>
        <v>28400</v>
      </c>
      <c r="N113" s="200"/>
      <c r="O113" s="201">
        <f>P113+Q113</f>
        <v>56800</v>
      </c>
      <c r="P113" s="105">
        <f>Q113+R113</f>
        <v>28400</v>
      </c>
      <c r="Q113" s="104">
        <f>Q114</f>
        <v>28400</v>
      </c>
      <c r="R113" s="104">
        <f>R114</f>
        <v>0</v>
      </c>
      <c r="S113" s="104">
        <f>S114</f>
        <v>0</v>
      </c>
      <c r="T113" s="104">
        <f>T114</f>
        <v>0</v>
      </c>
      <c r="U113" s="104"/>
      <c r="V113" s="104">
        <f>P113*(0.9)</f>
        <v>25560</v>
      </c>
      <c r="W113" s="104"/>
      <c r="X113" s="104">
        <f>X114</f>
        <v>0</v>
      </c>
      <c r="Y113" s="107">
        <f>X113/P113*100</f>
        <v>0</v>
      </c>
      <c r="Z113" s="105">
        <v>50000</v>
      </c>
      <c r="AA113" s="199">
        <f>Z113/P113*100</f>
        <v>176.05633802816902</v>
      </c>
      <c r="AB113" s="271"/>
      <c r="AC113" s="43" t="s">
        <v>176</v>
      </c>
      <c r="AD113" s="109">
        <f aca="true" t="shared" si="22" ref="AD113:AD119">AE113+AF113</f>
        <v>30700</v>
      </c>
      <c r="AE113" s="202">
        <f>AE114</f>
        <v>30700</v>
      </c>
      <c r="AF113" s="72"/>
      <c r="AG113" s="72"/>
      <c r="AH113" s="203">
        <v>0</v>
      </c>
      <c r="AI113" s="107">
        <f t="shared" si="14"/>
        <v>0</v>
      </c>
    </row>
    <row r="114" spans="1:35" ht="21" customHeight="1">
      <c r="A114" s="18"/>
      <c r="B114" s="78" t="s">
        <v>99</v>
      </c>
      <c r="C114" s="30"/>
      <c r="D114" s="174" t="s">
        <v>177</v>
      </c>
      <c r="E114" s="9"/>
      <c r="F114" s="9"/>
      <c r="G114" s="10"/>
      <c r="H114" s="9"/>
      <c r="I114" s="9"/>
      <c r="J114" s="204"/>
      <c r="K114" s="204"/>
      <c r="L114" s="204"/>
      <c r="M114" s="205">
        <v>28400</v>
      </c>
      <c r="N114" s="204"/>
      <c r="O114" s="206">
        <f>P114+Q114</f>
        <v>56800</v>
      </c>
      <c r="P114" s="207">
        <f>Q114+R114</f>
        <v>28400</v>
      </c>
      <c r="Q114" s="128">
        <v>28400</v>
      </c>
      <c r="R114" s="128">
        <v>0</v>
      </c>
      <c r="S114" s="128">
        <v>0</v>
      </c>
      <c r="T114" s="128">
        <v>0</v>
      </c>
      <c r="U114" s="128"/>
      <c r="V114" s="128">
        <f>P114*(0.9)</f>
        <v>25560</v>
      </c>
      <c r="W114" s="128"/>
      <c r="X114" s="128">
        <v>0</v>
      </c>
      <c r="Y114" s="159">
        <f>X114/P114*100</f>
        <v>0</v>
      </c>
      <c r="Z114" s="208">
        <v>50000</v>
      </c>
      <c r="AA114" s="128">
        <f>Z114/P114*100</f>
        <v>176.05633802816902</v>
      </c>
      <c r="AB114" s="271"/>
      <c r="AC114" s="43"/>
      <c r="AD114" s="158">
        <f t="shared" si="22"/>
        <v>30700</v>
      </c>
      <c r="AE114" s="130">
        <v>30700</v>
      </c>
      <c r="AF114" s="53"/>
      <c r="AG114" s="53"/>
      <c r="AH114" s="209">
        <v>0</v>
      </c>
      <c r="AI114" s="129">
        <f t="shared" si="14"/>
        <v>0</v>
      </c>
    </row>
    <row r="115" spans="1:35" ht="52.5" customHeight="1">
      <c r="A115" s="18"/>
      <c r="B115" s="31" t="s">
        <v>24</v>
      </c>
      <c r="C115" s="32"/>
      <c r="D115" s="210" t="s">
        <v>139</v>
      </c>
      <c r="E115" s="211"/>
      <c r="F115" s="211"/>
      <c r="G115" s="211"/>
      <c r="H115" s="211"/>
      <c r="I115" s="211"/>
      <c r="J115" s="211"/>
      <c r="K115" s="211"/>
      <c r="L115" s="211"/>
      <c r="M115" s="212"/>
      <c r="N115" s="212"/>
      <c r="O115" s="212"/>
      <c r="P115" s="212"/>
      <c r="Q115" s="212"/>
      <c r="R115" s="212"/>
      <c r="S115" s="212"/>
      <c r="T115" s="212"/>
      <c r="U115" s="212"/>
      <c r="V115" s="104"/>
      <c r="W115" s="104"/>
      <c r="X115" s="212"/>
      <c r="Y115" s="212"/>
      <c r="Z115" s="202"/>
      <c r="AA115" s="104"/>
      <c r="AB115" s="108"/>
      <c r="AC115" s="213"/>
      <c r="AD115" s="109">
        <f t="shared" si="22"/>
        <v>777789.24</v>
      </c>
      <c r="AE115" s="202">
        <f>AE116</f>
        <v>777789.24</v>
      </c>
      <c r="AF115" s="72"/>
      <c r="AG115" s="72"/>
      <c r="AH115" s="68">
        <f>AH117</f>
        <v>388841.35</v>
      </c>
      <c r="AI115" s="107">
        <f>AH115/AD115*100</f>
        <v>49.993151100933204</v>
      </c>
    </row>
    <row r="116" spans="1:35" ht="20.25" customHeight="1">
      <c r="A116" s="18" t="s">
        <v>140</v>
      </c>
      <c r="B116" s="20" t="s">
        <v>126</v>
      </c>
      <c r="C116" s="19"/>
      <c r="D116" s="110" t="s">
        <v>141</v>
      </c>
      <c r="E116" s="172"/>
      <c r="F116" s="172"/>
      <c r="G116" s="172"/>
      <c r="H116" s="172"/>
      <c r="I116" s="172"/>
      <c r="J116" s="172"/>
      <c r="K116" s="172"/>
      <c r="L116" s="172"/>
      <c r="M116" s="214">
        <f>M117</f>
        <v>135989</v>
      </c>
      <c r="N116" s="214"/>
      <c r="O116" s="168">
        <f>P116+Q116</f>
        <v>271978</v>
      </c>
      <c r="P116" s="167">
        <f>Q116+R116</f>
        <v>135989</v>
      </c>
      <c r="Q116" s="128">
        <f>Q117</f>
        <v>135989</v>
      </c>
      <c r="R116" s="119"/>
      <c r="S116" s="119"/>
      <c r="T116" s="128">
        <f>T117</f>
        <v>128500.84000000001</v>
      </c>
      <c r="U116" s="128"/>
      <c r="V116" s="128">
        <f>V117</f>
        <v>1147180.09</v>
      </c>
      <c r="W116" s="128">
        <v>402800</v>
      </c>
      <c r="X116" s="128">
        <f>X117</f>
        <v>128500.84000000001</v>
      </c>
      <c r="Y116" s="135">
        <f>X116/P116*100</f>
        <v>94.4935546257418</v>
      </c>
      <c r="Z116" s="167">
        <f>Z117</f>
        <v>1147180.09</v>
      </c>
      <c r="AA116" s="128">
        <f>Z116/P116*100</f>
        <v>843.5830030370104</v>
      </c>
      <c r="AB116" s="161">
        <f>Z116-P116</f>
        <v>1011191.0900000001</v>
      </c>
      <c r="AC116" s="119"/>
      <c r="AD116" s="189">
        <f t="shared" si="22"/>
        <v>777789.24</v>
      </c>
      <c r="AE116" s="153">
        <f>AE117+AE118</f>
        <v>777789.24</v>
      </c>
      <c r="AF116" s="119"/>
      <c r="AG116" s="43"/>
      <c r="AH116" s="153">
        <f>AH117+AH118</f>
        <v>388841.35</v>
      </c>
      <c r="AI116" s="159">
        <f>AH116/AD116*100</f>
        <v>49.993151100933204</v>
      </c>
    </row>
    <row r="117" spans="1:35" ht="33" customHeight="1">
      <c r="A117" s="18"/>
      <c r="B117" s="20"/>
      <c r="C117" s="19"/>
      <c r="D117" s="147" t="s">
        <v>81</v>
      </c>
      <c r="E117" s="140"/>
      <c r="F117" s="140"/>
      <c r="G117" s="140"/>
      <c r="H117" s="140"/>
      <c r="I117" s="140"/>
      <c r="J117" s="140"/>
      <c r="K117" s="140"/>
      <c r="L117" s="140"/>
      <c r="M117" s="149">
        <f>135989</f>
        <v>135989</v>
      </c>
      <c r="N117" s="163"/>
      <c r="O117" s="145">
        <f>P117+Q117</f>
        <v>271978</v>
      </c>
      <c r="P117" s="142">
        <f>Q117+R117</f>
        <v>135989</v>
      </c>
      <c r="Q117" s="127">
        <f>135989</f>
        <v>135989</v>
      </c>
      <c r="R117" s="99"/>
      <c r="S117" s="99"/>
      <c r="T117" s="127">
        <f>6438.31+13187.76+54909+12393.8+41571.97</f>
        <v>128500.84000000001</v>
      </c>
      <c r="U117" s="127"/>
      <c r="V117" s="131">
        <v>1147180.09</v>
      </c>
      <c r="W117" s="131">
        <f>W116</f>
        <v>402800</v>
      </c>
      <c r="X117" s="127">
        <f>6438.31+13187.76+54909+12393.8+41571.97</f>
        <v>128500.84000000001</v>
      </c>
      <c r="Y117" s="146">
        <f>X117/P117*100</f>
        <v>94.4935546257418</v>
      </c>
      <c r="Z117" s="34">
        <v>1147180.09</v>
      </c>
      <c r="AA117" s="131">
        <f>Z117/P117*100</f>
        <v>843.5830030370104</v>
      </c>
      <c r="AB117" s="132">
        <f>Z117-P117</f>
        <v>1011191.0900000001</v>
      </c>
      <c r="AC117" s="99" t="s">
        <v>82</v>
      </c>
      <c r="AD117" s="158">
        <f t="shared" si="22"/>
        <v>736478.54</v>
      </c>
      <c r="AE117" s="34">
        <v>736478.54</v>
      </c>
      <c r="AF117" s="43"/>
      <c r="AG117" s="43"/>
      <c r="AH117" s="216">
        <f>11291.3+9563.01+9331.63+11197.95+10805.05+9724.53+8211.82+12317.77+10264.82+10264.82+40136.29+9912.46+80056.91+8624.61+41052.05+7295.54+68000+12209.06+8525.93+10055.8</f>
        <v>388841.35</v>
      </c>
      <c r="AI117" s="129">
        <f>AH117/AD117*100</f>
        <v>52.79737682512785</v>
      </c>
    </row>
    <row r="118" spans="1:37" ht="32.25" customHeight="1">
      <c r="A118" s="18"/>
      <c r="B118" s="18"/>
      <c r="C118" s="33"/>
      <c r="D118" s="217" t="s">
        <v>224</v>
      </c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158">
        <f t="shared" si="22"/>
        <v>41310.7</v>
      </c>
      <c r="AE118" s="34">
        <v>41310.7</v>
      </c>
      <c r="AF118" s="43"/>
      <c r="AG118" s="43"/>
      <c r="AH118" s="129">
        <v>0</v>
      </c>
      <c r="AI118" s="129">
        <f>AH118/AD118*100</f>
        <v>0</v>
      </c>
      <c r="AK118" s="28"/>
    </row>
    <row r="119" spans="1:35" ht="0.75" customHeight="1" hidden="1">
      <c r="A119" s="18"/>
      <c r="B119" s="18"/>
      <c r="C119" s="33"/>
      <c r="D119" s="147"/>
      <c r="E119" s="140"/>
      <c r="F119" s="140"/>
      <c r="G119" s="140"/>
      <c r="H119" s="140"/>
      <c r="I119" s="140"/>
      <c r="J119" s="140"/>
      <c r="K119" s="140"/>
      <c r="L119" s="140"/>
      <c r="M119" s="149"/>
      <c r="N119" s="163"/>
      <c r="O119" s="145"/>
      <c r="P119" s="142"/>
      <c r="Q119" s="127"/>
      <c r="R119" s="99"/>
      <c r="S119" s="99"/>
      <c r="T119" s="127"/>
      <c r="U119" s="127"/>
      <c r="V119" s="131"/>
      <c r="W119" s="131"/>
      <c r="X119" s="127"/>
      <c r="Y119" s="146"/>
      <c r="Z119" s="34"/>
      <c r="AA119" s="131"/>
      <c r="AB119" s="132"/>
      <c r="AC119" s="99"/>
      <c r="AD119" s="158">
        <f t="shared" si="22"/>
        <v>736478.54</v>
      </c>
      <c r="AE119" s="34">
        <v>736478.54</v>
      </c>
      <c r="AF119" s="219"/>
      <c r="AG119" s="219"/>
      <c r="AH119" s="220"/>
      <c r="AI119" s="221"/>
    </row>
    <row r="120" spans="1:35" ht="33" customHeight="1">
      <c r="A120" s="18"/>
      <c r="B120" s="31" t="s">
        <v>160</v>
      </c>
      <c r="C120" s="82"/>
      <c r="D120" s="210" t="s">
        <v>203</v>
      </c>
      <c r="E120" s="222"/>
      <c r="F120" s="222"/>
      <c r="G120" s="222"/>
      <c r="H120" s="222"/>
      <c r="I120" s="222"/>
      <c r="J120" s="222"/>
      <c r="K120" s="222"/>
      <c r="L120" s="222"/>
      <c r="M120" s="223"/>
      <c r="N120" s="224"/>
      <c r="O120" s="225"/>
      <c r="P120" s="212"/>
      <c r="Q120" s="226"/>
      <c r="R120" s="227"/>
      <c r="S120" s="227"/>
      <c r="T120" s="226"/>
      <c r="U120" s="226"/>
      <c r="V120" s="228"/>
      <c r="W120" s="228"/>
      <c r="X120" s="226"/>
      <c r="Y120" s="229"/>
      <c r="Z120" s="83"/>
      <c r="AA120" s="228"/>
      <c r="AB120" s="230"/>
      <c r="AC120" s="227"/>
      <c r="AD120" s="109">
        <f>AE120</f>
        <v>4500000</v>
      </c>
      <c r="AE120" s="202">
        <f>AE121</f>
        <v>4500000</v>
      </c>
      <c r="AF120" s="72"/>
      <c r="AG120" s="72"/>
      <c r="AH120" s="231">
        <f>AH121</f>
        <v>0</v>
      </c>
      <c r="AI120" s="107">
        <f>AH120/AD120*100</f>
        <v>0</v>
      </c>
    </row>
    <row r="121" spans="1:35" ht="36.75" customHeight="1">
      <c r="A121" s="18"/>
      <c r="B121" s="20" t="s">
        <v>204</v>
      </c>
      <c r="C121" s="33"/>
      <c r="D121" s="147" t="s">
        <v>205</v>
      </c>
      <c r="E121" s="140"/>
      <c r="F121" s="140"/>
      <c r="G121" s="140"/>
      <c r="H121" s="140"/>
      <c r="I121" s="140"/>
      <c r="J121" s="140"/>
      <c r="K121" s="140"/>
      <c r="L121" s="140"/>
      <c r="M121" s="149"/>
      <c r="N121" s="163"/>
      <c r="O121" s="145"/>
      <c r="P121" s="142"/>
      <c r="Q121" s="127"/>
      <c r="R121" s="99"/>
      <c r="S121" s="99"/>
      <c r="T121" s="127"/>
      <c r="U121" s="127"/>
      <c r="V121" s="131"/>
      <c r="W121" s="131"/>
      <c r="X121" s="127"/>
      <c r="Y121" s="146"/>
      <c r="Z121" s="34"/>
      <c r="AA121" s="131"/>
      <c r="AB121" s="132"/>
      <c r="AC121" s="99"/>
      <c r="AD121" s="158">
        <f>AE121</f>
        <v>4500000</v>
      </c>
      <c r="AE121" s="34">
        <v>4500000</v>
      </c>
      <c r="AF121" s="43"/>
      <c r="AG121" s="43"/>
      <c r="AH121" s="232">
        <v>0</v>
      </c>
      <c r="AI121" s="129">
        <f>AH121/AD121*100</f>
        <v>0</v>
      </c>
    </row>
    <row r="122" spans="1:35" ht="18" customHeight="1">
      <c r="A122" s="35"/>
      <c r="B122" s="35"/>
      <c r="C122" s="36"/>
      <c r="D122" s="233" t="s">
        <v>102</v>
      </c>
      <c r="E122" s="234"/>
      <c r="F122" s="234"/>
      <c r="G122" s="234"/>
      <c r="H122" s="234"/>
      <c r="I122" s="235"/>
      <c r="J122" s="235"/>
      <c r="K122" s="235"/>
      <c r="L122" s="235"/>
      <c r="M122" s="168" t="e">
        <f>M113+M52</f>
        <v>#REF!</v>
      </c>
      <c r="N122" s="168" t="e">
        <f>N113+N52</f>
        <v>#VALUE!</v>
      </c>
      <c r="O122" s="168" t="e">
        <f>O113+O52</f>
        <v>#REF!</v>
      </c>
      <c r="P122" s="167" t="e">
        <f>P113+P52</f>
        <v>#REF!</v>
      </c>
      <c r="Q122" s="168"/>
      <c r="R122" s="168"/>
      <c r="S122" s="168"/>
      <c r="T122" s="168"/>
      <c r="U122" s="168"/>
      <c r="V122" s="168"/>
      <c r="W122" s="128"/>
      <c r="X122" s="168"/>
      <c r="Y122" s="168"/>
      <c r="Z122" s="167" t="e">
        <f>Z113+Z52</f>
        <v>#REF!</v>
      </c>
      <c r="AA122" s="168" t="e">
        <f>AA113+AA52</f>
        <v>#REF!</v>
      </c>
      <c r="AB122" s="168" t="e">
        <f>AB113+AB52</f>
        <v>#REF!</v>
      </c>
      <c r="AC122" s="168"/>
      <c r="AD122" s="133">
        <f>AD120+AD115+AD113+AD52+AD50+AD8</f>
        <v>91417868.65819901</v>
      </c>
      <c r="AE122" s="133">
        <f>AE120+AE115+AE113+AE52+AE50+AE8</f>
        <v>59026378.378199</v>
      </c>
      <c r="AF122" s="133">
        <f>AF120+AF115+AF113+AF52+AF50+AF8</f>
        <v>32391490.28</v>
      </c>
      <c r="AG122" s="133">
        <f>AG120+AG115+AG113+AG52+AG50+AG8</f>
        <v>32391490.28</v>
      </c>
      <c r="AH122" s="133">
        <f>AH120+AH115+AH113+AH52+AH50+AH8</f>
        <v>55777180.419999994</v>
      </c>
      <c r="AI122" s="215">
        <f>AH122/AD122*100</f>
        <v>61.013433411518825</v>
      </c>
    </row>
    <row r="123" spans="16:23" ht="12.75">
      <c r="P123" s="29"/>
      <c r="R123" s="45"/>
      <c r="S123" s="45"/>
      <c r="V123" s="28"/>
      <c r="W123" s="28"/>
    </row>
    <row r="124" spans="1:30" ht="12.75">
      <c r="A124" s="37"/>
      <c r="B124" s="39"/>
      <c r="C124" s="38"/>
      <c r="P124" s="29"/>
      <c r="R124" s="5"/>
      <c r="S124" s="5"/>
      <c r="T124" s="5"/>
      <c r="U124" s="5"/>
      <c r="V124" s="5"/>
      <c r="W124" s="5"/>
      <c r="X124" s="5"/>
      <c r="AD124" s="77"/>
    </row>
    <row r="125" spans="4:33" s="88" customFormat="1" ht="18.7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  <c r="Q125" s="89"/>
      <c r="R125" s="91"/>
      <c r="S125" s="91"/>
      <c r="T125" s="91"/>
      <c r="U125" s="91"/>
      <c r="V125" s="91"/>
      <c r="W125" s="91"/>
      <c r="X125" s="91"/>
      <c r="Y125" s="89"/>
      <c r="Z125" s="89"/>
      <c r="AA125" s="89"/>
      <c r="AB125" s="89"/>
      <c r="AC125" s="89"/>
      <c r="AD125" s="89"/>
      <c r="AG125" s="92"/>
    </row>
    <row r="126" spans="16:24" ht="12.75">
      <c r="P126" s="29"/>
      <c r="R126" s="5"/>
      <c r="S126" s="5"/>
      <c r="T126" s="5"/>
      <c r="U126" s="5"/>
      <c r="V126" s="5"/>
      <c r="W126" s="5"/>
      <c r="X126" s="5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ht="12.75">
      <c r="AE128" s="29"/>
    </row>
    <row r="202" ht="12.75"/>
    <row r="203" ht="12.75"/>
    <row r="204" ht="12.75"/>
    <row r="205" ht="12.75"/>
    <row r="206" ht="12.75"/>
  </sheetData>
  <sheetProtection/>
  <mergeCells count="35"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9:AC101"/>
    <mergeCell ref="X5:X6"/>
    <mergeCell ref="Y5:Y6"/>
    <mergeCell ref="Z5:Z6"/>
    <mergeCell ref="AC70:AC72"/>
    <mergeCell ref="AC73:AC77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2017-11-03T11:09:37Z</dcterms:modified>
  <cp:category/>
  <cp:version/>
  <cp:contentType/>
  <cp:contentStatus/>
</cp:coreProperties>
</file>